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.karaseva\Desktop\ЗАЯВКИ\837 дождевая канализация\"/>
    </mc:Choice>
  </mc:AlternateContent>
  <bookViews>
    <workbookView xWindow="0" yWindow="0" windowWidth="23040" windowHeight="11370" activeTab="6"/>
  </bookViews>
  <sheets>
    <sheet name="6.Ведомость_списания" sheetId="20" r:id="rId1"/>
    <sheet name="5.Ресурсный_расчет" sheetId="18" r:id="rId2"/>
    <sheet name="4.Оборудование" sheetId="16" r:id="rId3"/>
    <sheet name="3.Материалы" sheetId="14" r:id="rId4"/>
    <sheet name="2.Лок.смета.и.Акт в ЕР" sheetId="12" r:id="rId5"/>
    <sheet name="SourceOb.2" sheetId="11" state="hidden" r:id="rId6"/>
    <sheet name="1.Лок.смета.и.Акт" sheetId="9" r:id="rId7"/>
    <sheet name="SourceOb.1" sheetId="8" state="hidden" r:id="rId8"/>
    <sheet name="Source" sheetId="1" state="hidden" r:id="rId9"/>
    <sheet name="SourceObSm" sheetId="2" state="hidden" r:id="rId10"/>
    <sheet name="SmtRes" sheetId="3" state="hidden" r:id="rId11"/>
    <sheet name="EtalonRes" sheetId="4" state="hidden" r:id="rId12"/>
    <sheet name="SrcPoprs" sheetId="5" state="hidden" r:id="rId13"/>
    <sheet name="SrcKA" sheetId="6" state="hidden" r:id="rId14"/>
  </sheets>
  <definedNames>
    <definedName name="_xlnm.Print_Titles" localSheetId="6">'1.Лок.смета.и.Акт'!$12:$12</definedName>
    <definedName name="_xlnm.Print_Titles" localSheetId="4">'2.Лок.смета.и.Акт в ЕР'!$46:$46</definedName>
    <definedName name="_xlnm.Print_Titles" localSheetId="3">'3.Материалы'!$20:$20</definedName>
    <definedName name="_xlnm.Print_Titles" localSheetId="2">'4.Оборудование'!$20:$20</definedName>
    <definedName name="_xlnm.Print_Titles" localSheetId="1">'5.Ресурсный_расчет'!$20:$20</definedName>
    <definedName name="_xlnm.Print_Titles" localSheetId="0">'6.Ведомость_списания'!$26:$26</definedName>
    <definedName name="_xlnm.Print_Area" localSheetId="6">'1.Лок.смета.и.Акт'!$A$1:$K$54</definedName>
    <definedName name="_xlnm.Print_Area" localSheetId="4">'2.Лок.смета.и.Акт в ЕР'!$A$1:$G$329</definedName>
    <definedName name="_xlnm.Print_Area" localSheetId="3">'3.Материалы'!$A$1:$G$81</definedName>
    <definedName name="_xlnm.Print_Area" localSheetId="2">'4.Оборудование'!$A$1:$G$34</definedName>
    <definedName name="_xlnm.Print_Area" localSheetId="1">'5.Ресурсный_расчет'!$A$1:$G$113</definedName>
    <definedName name="_xlnm.Print_Area" localSheetId="0">'6.Ведомость_списания'!$A$1:$K$120</definedName>
  </definedNames>
  <calcPr calcId="162913"/>
</workbook>
</file>

<file path=xl/calcChain.xml><?xml version="1.0" encoding="utf-8"?>
<calcChain xmlns="http://schemas.openxmlformats.org/spreadsheetml/2006/main">
  <c r="BZ116" i="20" l="1"/>
  <c r="BY116" i="20"/>
  <c r="BZ113" i="20"/>
  <c r="BY113" i="20"/>
  <c r="BZ110" i="20"/>
  <c r="BY110" i="20"/>
  <c r="E107" i="20"/>
  <c r="E106" i="20"/>
  <c r="J105" i="20"/>
  <c r="I105" i="20"/>
  <c r="H105" i="20"/>
  <c r="G105" i="20"/>
  <c r="J69" i="1"/>
  <c r="E104" i="20"/>
  <c r="J103" i="20"/>
  <c r="I103" i="20"/>
  <c r="H103" i="20"/>
  <c r="G103" i="20"/>
  <c r="Y114" i="3"/>
  <c r="E102" i="20"/>
  <c r="J101" i="20"/>
  <c r="I101" i="20"/>
  <c r="H101" i="20"/>
  <c r="G101" i="20"/>
  <c r="J65" i="1"/>
  <c r="J100" i="20"/>
  <c r="I100" i="20"/>
  <c r="H100" i="20"/>
  <c r="G100" i="20"/>
  <c r="Y111" i="3"/>
  <c r="J99" i="20"/>
  <c r="I99" i="20"/>
  <c r="H99" i="20"/>
  <c r="G99" i="20"/>
  <c r="Y110" i="3"/>
  <c r="J98" i="20"/>
  <c r="I98" i="20"/>
  <c r="H98" i="20"/>
  <c r="G98" i="20"/>
  <c r="Y109" i="3"/>
  <c r="J97" i="20"/>
  <c r="I97" i="20"/>
  <c r="H97" i="20"/>
  <c r="G97" i="20"/>
  <c r="Y108" i="3"/>
  <c r="J96" i="20"/>
  <c r="I96" i="20"/>
  <c r="H96" i="20"/>
  <c r="G96" i="20"/>
  <c r="Y107" i="3"/>
  <c r="J95" i="20"/>
  <c r="I95" i="20"/>
  <c r="H95" i="20"/>
  <c r="G95" i="20"/>
  <c r="Y106" i="3"/>
  <c r="J94" i="20"/>
  <c r="I94" i="20"/>
  <c r="H94" i="20"/>
  <c r="G94" i="20"/>
  <c r="Y105" i="3"/>
  <c r="E93" i="20"/>
  <c r="J92" i="20"/>
  <c r="I92" i="20"/>
  <c r="H92" i="20"/>
  <c r="G92" i="20"/>
  <c r="J63" i="1"/>
  <c r="J91" i="20"/>
  <c r="I91" i="20"/>
  <c r="H91" i="20"/>
  <c r="G91" i="20"/>
  <c r="J61" i="1"/>
  <c r="J90" i="20"/>
  <c r="I90" i="20"/>
  <c r="H90" i="20"/>
  <c r="G90" i="20"/>
  <c r="J60" i="1"/>
  <c r="J89" i="20"/>
  <c r="I89" i="20"/>
  <c r="H89" i="20"/>
  <c r="G89" i="20"/>
  <c r="J59" i="1"/>
  <c r="J88" i="20"/>
  <c r="I88" i="20"/>
  <c r="H88" i="20"/>
  <c r="G88" i="20"/>
  <c r="J58" i="1"/>
  <c r="J87" i="20"/>
  <c r="I87" i="20"/>
  <c r="H87" i="20"/>
  <c r="G87" i="20"/>
  <c r="Y97" i="3"/>
  <c r="J86" i="20"/>
  <c r="I86" i="20"/>
  <c r="H86" i="20"/>
  <c r="G86" i="20"/>
  <c r="Y92" i="3"/>
  <c r="J85" i="20"/>
  <c r="I85" i="20"/>
  <c r="H85" i="20"/>
  <c r="G85" i="20"/>
  <c r="Y91" i="3"/>
  <c r="DH91" i="3" s="1"/>
  <c r="J84" i="20"/>
  <c r="I84" i="20"/>
  <c r="H84" i="20"/>
  <c r="G84" i="20"/>
  <c r="Y90" i="3"/>
  <c r="J83" i="20"/>
  <c r="I83" i="20"/>
  <c r="H83" i="20"/>
  <c r="G83" i="20"/>
  <c r="Y87" i="3"/>
  <c r="J82" i="20"/>
  <c r="I82" i="20"/>
  <c r="H82" i="20"/>
  <c r="G82" i="20"/>
  <c r="Y86" i="3"/>
  <c r="J81" i="20"/>
  <c r="I81" i="20"/>
  <c r="H81" i="20"/>
  <c r="G81" i="20"/>
  <c r="Y85" i="3"/>
  <c r="J80" i="20"/>
  <c r="I80" i="20"/>
  <c r="H80" i="20"/>
  <c r="G80" i="20"/>
  <c r="Y84" i="3"/>
  <c r="J79" i="20"/>
  <c r="I79" i="20"/>
  <c r="H79" i="20"/>
  <c r="G79" i="20"/>
  <c r="Y83" i="3"/>
  <c r="J78" i="20"/>
  <c r="I78" i="20"/>
  <c r="H78" i="20"/>
  <c r="G78" i="20"/>
  <c r="Y82" i="3"/>
  <c r="J77" i="20"/>
  <c r="I77" i="20"/>
  <c r="H77" i="20"/>
  <c r="G77" i="20"/>
  <c r="Y81" i="3"/>
  <c r="J76" i="20"/>
  <c r="I76" i="20"/>
  <c r="H76" i="20"/>
  <c r="G76" i="20"/>
  <c r="Y80" i="3"/>
  <c r="J75" i="20"/>
  <c r="I75" i="20"/>
  <c r="H75" i="20"/>
  <c r="G75" i="20"/>
  <c r="Y79" i="3"/>
  <c r="E74" i="20"/>
  <c r="J73" i="20"/>
  <c r="I73" i="20"/>
  <c r="H73" i="20"/>
  <c r="G73" i="20"/>
  <c r="J56" i="1"/>
  <c r="J72" i="20"/>
  <c r="I72" i="20"/>
  <c r="H72" i="20"/>
  <c r="G72" i="20"/>
  <c r="J54" i="1"/>
  <c r="J71" i="20"/>
  <c r="I71" i="20"/>
  <c r="H71" i="20"/>
  <c r="G71" i="20"/>
  <c r="J53" i="1"/>
  <c r="J70" i="20"/>
  <c r="I70" i="20"/>
  <c r="H70" i="20"/>
  <c r="G70" i="20"/>
  <c r="J52" i="1"/>
  <c r="J69" i="20"/>
  <c r="I69" i="20"/>
  <c r="H69" i="20"/>
  <c r="G69" i="20"/>
  <c r="J51" i="1"/>
  <c r="J68" i="20"/>
  <c r="I68" i="20"/>
  <c r="H68" i="20"/>
  <c r="G68" i="20"/>
  <c r="J50" i="1"/>
  <c r="J67" i="20"/>
  <c r="I67" i="20"/>
  <c r="H67" i="20"/>
  <c r="G67" i="20"/>
  <c r="J49" i="1"/>
  <c r="J66" i="20"/>
  <c r="I66" i="20"/>
  <c r="H66" i="20"/>
  <c r="G66" i="20"/>
  <c r="J48" i="1"/>
  <c r="J65" i="20"/>
  <c r="I65" i="20"/>
  <c r="H65" i="20"/>
  <c r="G65" i="20"/>
  <c r="Y66" i="3"/>
  <c r="J64" i="20"/>
  <c r="I64" i="20"/>
  <c r="H64" i="20"/>
  <c r="G64" i="20"/>
  <c r="Y65" i="3"/>
  <c r="J63" i="20"/>
  <c r="I63" i="20"/>
  <c r="H63" i="20"/>
  <c r="G63" i="20"/>
  <c r="Y64" i="3"/>
  <c r="J62" i="20"/>
  <c r="I62" i="20"/>
  <c r="H62" i="20"/>
  <c r="G62" i="20"/>
  <c r="Y61" i="3"/>
  <c r="J61" i="20"/>
  <c r="I61" i="20"/>
  <c r="H61" i="20"/>
  <c r="G61" i="20"/>
  <c r="Y60" i="3"/>
  <c r="DH60" i="3" s="1"/>
  <c r="J60" i="20"/>
  <c r="I60" i="20"/>
  <c r="H60" i="20"/>
  <c r="G60" i="20"/>
  <c r="Y59" i="3"/>
  <c r="J59" i="20"/>
  <c r="I59" i="20"/>
  <c r="H59" i="20"/>
  <c r="G59" i="20"/>
  <c r="Y58" i="3"/>
  <c r="J58" i="20"/>
  <c r="I58" i="20"/>
  <c r="H58" i="20"/>
  <c r="G58" i="20"/>
  <c r="Y57" i="3"/>
  <c r="J57" i="20"/>
  <c r="I57" i="20"/>
  <c r="H57" i="20"/>
  <c r="G57" i="20"/>
  <c r="Y56" i="3"/>
  <c r="DH56" i="3" s="1"/>
  <c r="E56" i="20"/>
  <c r="J55" i="20"/>
  <c r="I55" i="20"/>
  <c r="H55" i="20"/>
  <c r="G55" i="20"/>
  <c r="J46" i="1"/>
  <c r="J54" i="20"/>
  <c r="I54" i="20"/>
  <c r="H54" i="20"/>
  <c r="G54" i="20"/>
  <c r="J45" i="1"/>
  <c r="J53" i="20"/>
  <c r="I53" i="20"/>
  <c r="H53" i="20"/>
  <c r="G53" i="20"/>
  <c r="J44" i="1"/>
  <c r="J52" i="20"/>
  <c r="I52" i="20"/>
  <c r="H52" i="20"/>
  <c r="G52" i="20"/>
  <c r="J43" i="1"/>
  <c r="J51" i="20"/>
  <c r="I51" i="20"/>
  <c r="H51" i="20"/>
  <c r="G51" i="20"/>
  <c r="J42" i="1"/>
  <c r="J50" i="20"/>
  <c r="I50" i="20"/>
  <c r="H50" i="20"/>
  <c r="G50" i="20"/>
  <c r="J41" i="1"/>
  <c r="J49" i="20"/>
  <c r="I49" i="20"/>
  <c r="H49" i="20"/>
  <c r="G49" i="20"/>
  <c r="J40" i="1"/>
  <c r="J48" i="20"/>
  <c r="I48" i="20"/>
  <c r="H48" i="20"/>
  <c r="G48" i="20"/>
  <c r="J37" i="1"/>
  <c r="J47" i="20"/>
  <c r="I47" i="20"/>
  <c r="H47" i="20"/>
  <c r="G47" i="20"/>
  <c r="Y42" i="3"/>
  <c r="J46" i="20"/>
  <c r="I46" i="20"/>
  <c r="H46" i="20"/>
  <c r="G46" i="20"/>
  <c r="Y41" i="3"/>
  <c r="J45" i="20"/>
  <c r="I45" i="20"/>
  <c r="H45" i="20"/>
  <c r="G45" i="20"/>
  <c r="Y40" i="3"/>
  <c r="J44" i="20"/>
  <c r="I44" i="20"/>
  <c r="H44" i="20"/>
  <c r="G44" i="20"/>
  <c r="Y37" i="3"/>
  <c r="J43" i="20"/>
  <c r="I43" i="20"/>
  <c r="H43" i="20"/>
  <c r="G43" i="20"/>
  <c r="Y36" i="3"/>
  <c r="J42" i="20"/>
  <c r="I42" i="20"/>
  <c r="H42" i="20"/>
  <c r="G42" i="20"/>
  <c r="Y35" i="3"/>
  <c r="J41" i="20"/>
  <c r="I41" i="20"/>
  <c r="H41" i="20"/>
  <c r="G41" i="20"/>
  <c r="Y34" i="3"/>
  <c r="J40" i="20"/>
  <c r="I40" i="20"/>
  <c r="H40" i="20"/>
  <c r="G40" i="20"/>
  <c r="Y33" i="3"/>
  <c r="J39" i="20"/>
  <c r="I39" i="20"/>
  <c r="H39" i="20"/>
  <c r="G39" i="20"/>
  <c r="Y32" i="3"/>
  <c r="E38" i="20"/>
  <c r="J37" i="20"/>
  <c r="I37" i="20"/>
  <c r="H37" i="20"/>
  <c r="G37" i="20"/>
  <c r="J35" i="1"/>
  <c r="J36" i="20"/>
  <c r="I36" i="20"/>
  <c r="H36" i="20"/>
  <c r="G36" i="20"/>
  <c r="Y25" i="3"/>
  <c r="E35" i="20"/>
  <c r="J34" i="20"/>
  <c r="I34" i="20"/>
  <c r="H34" i="20"/>
  <c r="G34" i="20"/>
  <c r="J33" i="1"/>
  <c r="E33" i="20"/>
  <c r="E32" i="20"/>
  <c r="E31" i="20"/>
  <c r="E30" i="20"/>
  <c r="E29" i="20"/>
  <c r="E28" i="20"/>
  <c r="BU27" i="20"/>
  <c r="DK122" i="3"/>
  <c r="DI122" i="3"/>
  <c r="DH122" i="3"/>
  <c r="DK120" i="3"/>
  <c r="DJ120" i="3"/>
  <c r="DI120" i="3"/>
  <c r="DH120" i="3"/>
  <c r="DK119" i="3"/>
  <c r="DJ119" i="3"/>
  <c r="DI119" i="3"/>
  <c r="DH119" i="3"/>
  <c r="DK118" i="3"/>
  <c r="DJ118" i="3"/>
  <c r="DI118" i="3"/>
  <c r="DH118" i="3"/>
  <c r="DK117" i="3"/>
  <c r="DJ117" i="3"/>
  <c r="DI117" i="3"/>
  <c r="DH117" i="3"/>
  <c r="DK116" i="3"/>
  <c r="DJ116" i="3"/>
  <c r="DI116" i="3"/>
  <c r="DH116" i="3"/>
  <c r="DJ114" i="3"/>
  <c r="DI114" i="3"/>
  <c r="DH114" i="3"/>
  <c r="DI112" i="3"/>
  <c r="DH112" i="3"/>
  <c r="DJ111" i="3"/>
  <c r="DI111" i="3"/>
  <c r="DH111" i="3"/>
  <c r="DJ110" i="3"/>
  <c r="DI110" i="3"/>
  <c r="DH110" i="3"/>
  <c r="DJ109" i="3"/>
  <c r="DI109" i="3"/>
  <c r="DH109" i="3"/>
  <c r="DJ108" i="3"/>
  <c r="DI108" i="3"/>
  <c r="DH108" i="3"/>
  <c r="DJ107" i="3"/>
  <c r="DI107" i="3"/>
  <c r="DH107" i="3"/>
  <c r="DJ106" i="3"/>
  <c r="DI106" i="3"/>
  <c r="DH106" i="3"/>
  <c r="DJ105" i="3"/>
  <c r="DI105" i="3"/>
  <c r="DH105" i="3"/>
  <c r="DJ97" i="3"/>
  <c r="DI97" i="3"/>
  <c r="DH97" i="3"/>
  <c r="DJ96" i="3"/>
  <c r="DI96" i="3"/>
  <c r="DH96" i="3"/>
  <c r="DI95" i="3"/>
  <c r="DH95" i="3"/>
  <c r="DI94" i="3"/>
  <c r="DH94" i="3"/>
  <c r="DI93" i="3"/>
  <c r="DH93" i="3"/>
  <c r="DJ92" i="3"/>
  <c r="DI92" i="3"/>
  <c r="DH92" i="3"/>
  <c r="DJ91" i="3"/>
  <c r="DI91" i="3"/>
  <c r="DJ90" i="3"/>
  <c r="DI90" i="3"/>
  <c r="DH90" i="3"/>
  <c r="DI89" i="3"/>
  <c r="DH89" i="3"/>
  <c r="DJ88" i="3"/>
  <c r="DI88" i="3"/>
  <c r="DH88" i="3"/>
  <c r="DJ87" i="3"/>
  <c r="DI87" i="3"/>
  <c r="DH87" i="3"/>
  <c r="DJ86" i="3"/>
  <c r="DI86" i="3"/>
  <c r="DH86" i="3"/>
  <c r="DJ85" i="3"/>
  <c r="DI85" i="3"/>
  <c r="DH85" i="3"/>
  <c r="DJ84" i="3"/>
  <c r="DI84" i="3"/>
  <c r="DH84" i="3"/>
  <c r="DJ83" i="3"/>
  <c r="DI83" i="3"/>
  <c r="DH83" i="3"/>
  <c r="DJ82" i="3"/>
  <c r="DI82" i="3"/>
  <c r="DH82" i="3"/>
  <c r="DJ81" i="3"/>
  <c r="DI81" i="3"/>
  <c r="DH81" i="3"/>
  <c r="DJ80" i="3"/>
  <c r="DI80" i="3"/>
  <c r="DH80" i="3"/>
  <c r="DJ79" i="3"/>
  <c r="DI79" i="3"/>
  <c r="DH79" i="3"/>
  <c r="DI73" i="3"/>
  <c r="DH73" i="3"/>
  <c r="DJ72" i="3"/>
  <c r="DI72" i="3"/>
  <c r="DH72" i="3"/>
  <c r="DI71" i="3"/>
  <c r="DH71" i="3"/>
  <c r="DI70" i="3"/>
  <c r="DH70" i="3"/>
  <c r="DI69" i="3"/>
  <c r="DH69" i="3"/>
  <c r="DI68" i="3"/>
  <c r="DH68" i="3"/>
  <c r="DI67" i="3"/>
  <c r="DH67" i="3"/>
  <c r="DJ66" i="3"/>
  <c r="DI66" i="3"/>
  <c r="DH66" i="3"/>
  <c r="DJ65" i="3"/>
  <c r="DI65" i="3"/>
  <c r="DH65" i="3"/>
  <c r="DJ64" i="3"/>
  <c r="DI64" i="3"/>
  <c r="DH64" i="3"/>
  <c r="DI63" i="3"/>
  <c r="DH63" i="3"/>
  <c r="DJ62" i="3"/>
  <c r="DI62" i="3"/>
  <c r="DH62" i="3"/>
  <c r="DJ61" i="3"/>
  <c r="DI61" i="3"/>
  <c r="DH61" i="3"/>
  <c r="DJ60" i="3"/>
  <c r="DI60" i="3"/>
  <c r="DJ59" i="3"/>
  <c r="DI59" i="3"/>
  <c r="DH59" i="3"/>
  <c r="DJ58" i="3"/>
  <c r="DI58" i="3"/>
  <c r="DH58" i="3"/>
  <c r="DJ57" i="3"/>
  <c r="DI57" i="3"/>
  <c r="DH57" i="3"/>
  <c r="DJ56" i="3"/>
  <c r="DI56" i="3"/>
  <c r="DI50" i="3"/>
  <c r="DH50" i="3"/>
  <c r="DJ49" i="3"/>
  <c r="DI49" i="3"/>
  <c r="DH49" i="3"/>
  <c r="DI48" i="3"/>
  <c r="DH48" i="3"/>
  <c r="DI47" i="3"/>
  <c r="DH47" i="3"/>
  <c r="DI46" i="3"/>
  <c r="DH46" i="3"/>
  <c r="DI45" i="3"/>
  <c r="DH45" i="3"/>
  <c r="DI44" i="3"/>
  <c r="DH44" i="3"/>
  <c r="DI43" i="3"/>
  <c r="DH43" i="3"/>
  <c r="DJ42" i="3"/>
  <c r="DI42" i="3"/>
  <c r="DH42" i="3"/>
  <c r="DJ41" i="3"/>
  <c r="DI41" i="3"/>
  <c r="DH41" i="3"/>
  <c r="DJ40" i="3"/>
  <c r="DI40" i="3"/>
  <c r="DH40" i="3"/>
  <c r="DI39" i="3"/>
  <c r="DH39" i="3"/>
  <c r="DJ38" i="3"/>
  <c r="DI38" i="3"/>
  <c r="DH38" i="3"/>
  <c r="DJ37" i="3"/>
  <c r="DI37" i="3"/>
  <c r="DH37" i="3"/>
  <c r="DJ36" i="3"/>
  <c r="DI36" i="3"/>
  <c r="DH36" i="3"/>
  <c r="DJ35" i="3"/>
  <c r="DI35" i="3"/>
  <c r="DH35" i="3"/>
  <c r="DJ34" i="3"/>
  <c r="DI34" i="3"/>
  <c r="DH34" i="3"/>
  <c r="DJ33" i="3"/>
  <c r="DI33" i="3"/>
  <c r="DH33" i="3"/>
  <c r="DJ32" i="3"/>
  <c r="DI32" i="3"/>
  <c r="DH32" i="3"/>
  <c r="DI26" i="3"/>
  <c r="DH26" i="3"/>
  <c r="DJ25" i="3"/>
  <c r="DI25" i="3"/>
  <c r="DH25" i="3"/>
  <c r="DK20" i="3"/>
  <c r="DI20" i="3"/>
  <c r="DH20" i="3"/>
  <c r="DJ15" i="3"/>
  <c r="DI15" i="3"/>
  <c r="DH15" i="3"/>
  <c r="DJ10" i="3"/>
  <c r="DI10" i="3"/>
  <c r="DH10" i="3"/>
  <c r="DJ5" i="3"/>
  <c r="DI5" i="3"/>
  <c r="DH5" i="3"/>
  <c r="BT21" i="20"/>
  <c r="BS20" i="20"/>
  <c r="BS19" i="20"/>
  <c r="BR14" i="20"/>
  <c r="BR13" i="20"/>
  <c r="BR12" i="20"/>
  <c r="BR11" i="20"/>
  <c r="CA7" i="20"/>
  <c r="CA4" i="20"/>
  <c r="CA3" i="20"/>
  <c r="BZ109" i="18"/>
  <c r="BY109" i="18"/>
  <c r="BZ106" i="18"/>
  <c r="BY106" i="18"/>
  <c r="BZ103" i="18"/>
  <c r="BY103" i="18"/>
  <c r="M95" i="18"/>
  <c r="L47" i="18"/>
  <c r="DJ128" i="3"/>
  <c r="DI128" i="3"/>
  <c r="DH128" i="3"/>
  <c r="DJ127" i="3"/>
  <c r="DI127" i="3"/>
  <c r="DH127" i="3"/>
  <c r="DJ124" i="3"/>
  <c r="DI124" i="3"/>
  <c r="DH124" i="3"/>
  <c r="DJ104" i="3"/>
  <c r="DI104" i="3"/>
  <c r="DH104" i="3"/>
  <c r="DJ103" i="3"/>
  <c r="DI103" i="3"/>
  <c r="DH103" i="3"/>
  <c r="DJ102" i="3"/>
  <c r="DI102" i="3"/>
  <c r="DH102" i="3"/>
  <c r="DJ101" i="3"/>
  <c r="DI101" i="3"/>
  <c r="DH101" i="3"/>
  <c r="DJ100" i="3"/>
  <c r="DI100" i="3"/>
  <c r="DH100" i="3"/>
  <c r="DJ78" i="3"/>
  <c r="DI78" i="3"/>
  <c r="DH78" i="3"/>
  <c r="DJ77" i="3"/>
  <c r="DI77" i="3"/>
  <c r="DH77" i="3"/>
  <c r="DJ76" i="3"/>
  <c r="DI76" i="3"/>
  <c r="DH76" i="3"/>
  <c r="DJ55" i="3"/>
  <c r="DI55" i="3"/>
  <c r="DH55" i="3"/>
  <c r="DJ54" i="3"/>
  <c r="DI54" i="3"/>
  <c r="DH54" i="3"/>
  <c r="DJ53" i="3"/>
  <c r="DI53" i="3"/>
  <c r="DH53" i="3"/>
  <c r="DJ31" i="3"/>
  <c r="DI31" i="3"/>
  <c r="DH31" i="3"/>
  <c r="DJ30" i="3"/>
  <c r="DI30" i="3"/>
  <c r="DH30" i="3"/>
  <c r="DJ29" i="3"/>
  <c r="DI29" i="3"/>
  <c r="DH29" i="3"/>
  <c r="DJ24" i="3"/>
  <c r="DI24" i="3"/>
  <c r="DH24" i="3"/>
  <c r="DJ23" i="3"/>
  <c r="DI23" i="3"/>
  <c r="DH23" i="3"/>
  <c r="DJ19" i="3"/>
  <c r="DI19" i="3"/>
  <c r="DH19" i="3"/>
  <c r="DJ14" i="3"/>
  <c r="DI14" i="3"/>
  <c r="DH14" i="3"/>
  <c r="DJ13" i="3"/>
  <c r="DI13" i="3"/>
  <c r="DH13" i="3"/>
  <c r="DJ9" i="3"/>
  <c r="DI9" i="3"/>
  <c r="DH9" i="3"/>
  <c r="DJ8" i="3"/>
  <c r="DI8" i="3"/>
  <c r="DH8" i="3"/>
  <c r="DJ4" i="3"/>
  <c r="DI4" i="3"/>
  <c r="DH4" i="3"/>
  <c r="DJ3" i="3"/>
  <c r="DI3" i="3"/>
  <c r="DH3" i="3"/>
  <c r="K30" i="18"/>
  <c r="DJ126" i="3"/>
  <c r="DI126" i="3"/>
  <c r="DH126" i="3"/>
  <c r="DJ125" i="3"/>
  <c r="DI125" i="3"/>
  <c r="DH125" i="3"/>
  <c r="DK123" i="3"/>
  <c r="DJ123" i="3"/>
  <c r="DI123" i="3"/>
  <c r="DH123" i="3"/>
  <c r="DJ121" i="3"/>
  <c r="DI121" i="3"/>
  <c r="DH121" i="3"/>
  <c r="DK115" i="3"/>
  <c r="DJ115" i="3"/>
  <c r="DI115" i="3"/>
  <c r="DH115" i="3"/>
  <c r="DJ113" i="3"/>
  <c r="DI113" i="3"/>
  <c r="DH113" i="3"/>
  <c r="DJ99" i="3"/>
  <c r="DI99" i="3"/>
  <c r="DH99" i="3"/>
  <c r="DJ98" i="3"/>
  <c r="DI98" i="3"/>
  <c r="DH98" i="3"/>
  <c r="DJ75" i="3"/>
  <c r="DI75" i="3"/>
  <c r="DH75" i="3"/>
  <c r="DJ74" i="3"/>
  <c r="DI74" i="3"/>
  <c r="DH74" i="3"/>
  <c r="DJ52" i="3"/>
  <c r="DI52" i="3"/>
  <c r="DH52" i="3"/>
  <c r="DJ51" i="3"/>
  <c r="DI51" i="3"/>
  <c r="DH51" i="3"/>
  <c r="DJ28" i="3"/>
  <c r="DI28" i="3"/>
  <c r="DH28" i="3"/>
  <c r="DJ27" i="3"/>
  <c r="DI27" i="3"/>
  <c r="DH27" i="3"/>
  <c r="DJ22" i="3"/>
  <c r="DI22" i="3"/>
  <c r="DH22" i="3"/>
  <c r="DJ21" i="3"/>
  <c r="DI21" i="3"/>
  <c r="DH21" i="3"/>
  <c r="DJ18" i="3"/>
  <c r="DI18" i="3"/>
  <c r="DH18" i="3"/>
  <c r="DJ17" i="3"/>
  <c r="DI17" i="3"/>
  <c r="DH17" i="3"/>
  <c r="DJ16" i="3"/>
  <c r="DI16" i="3"/>
  <c r="DH16" i="3"/>
  <c r="DJ12" i="3"/>
  <c r="DI12" i="3"/>
  <c r="DH12" i="3"/>
  <c r="DJ11" i="3"/>
  <c r="DI11" i="3"/>
  <c r="DH11" i="3"/>
  <c r="DJ7" i="3"/>
  <c r="DI7" i="3"/>
  <c r="DH7" i="3"/>
  <c r="DJ6" i="3"/>
  <c r="DI6" i="3"/>
  <c r="DH6" i="3"/>
  <c r="DJ2" i="3"/>
  <c r="DI2" i="3"/>
  <c r="DH2" i="3"/>
  <c r="DJ1" i="3"/>
  <c r="DI1" i="3"/>
  <c r="DH1" i="3"/>
  <c r="BT13" i="18"/>
  <c r="BS12" i="18"/>
  <c r="BS11" i="18"/>
  <c r="BR6" i="18"/>
  <c r="BR5" i="18"/>
  <c r="BR4" i="18"/>
  <c r="BR3" i="18"/>
  <c r="BZ30" i="16"/>
  <c r="BY30" i="16"/>
  <c r="BZ27" i="16"/>
  <c r="BY27" i="16"/>
  <c r="BZ24" i="16"/>
  <c r="BY24" i="16"/>
  <c r="BT13" i="16"/>
  <c r="BS12" i="16"/>
  <c r="BS11" i="16"/>
  <c r="BR6" i="16"/>
  <c r="BR5" i="16"/>
  <c r="BR4" i="16"/>
  <c r="BR3" i="16"/>
  <c r="BZ77" i="14"/>
  <c r="BY77" i="14"/>
  <c r="BZ74" i="14"/>
  <c r="BY74" i="14"/>
  <c r="BZ71" i="14"/>
  <c r="BY71" i="14"/>
  <c r="BT13" i="14"/>
  <c r="BS12" i="14"/>
  <c r="BS11" i="14"/>
  <c r="BR6" i="14"/>
  <c r="BR5" i="14"/>
  <c r="BR4" i="14"/>
  <c r="BR3" i="14"/>
  <c r="BZ325" i="12"/>
  <c r="BY325" i="12"/>
  <c r="BZ322" i="12"/>
  <c r="BY322" i="12"/>
  <c r="BZ319" i="12"/>
  <c r="BY319" i="12"/>
  <c r="BZ313" i="12"/>
  <c r="BY313" i="12"/>
  <c r="BZ310" i="12"/>
  <c r="BY310" i="12"/>
  <c r="G305" i="12"/>
  <c r="G304" i="12"/>
  <c r="G302" i="12"/>
  <c r="G281" i="12"/>
  <c r="G268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IU14" i="11"/>
  <c r="IT14" i="11"/>
  <c r="IS14" i="11"/>
  <c r="IR14" i="11"/>
  <c r="IQ14" i="11"/>
  <c r="IP14" i="11"/>
  <c r="IO14" i="11"/>
  <c r="IN14" i="11"/>
  <c r="GG14" i="11"/>
  <c r="GF14" i="11"/>
  <c r="GE14" i="11"/>
  <c r="GD14" i="11"/>
  <c r="GC14" i="11"/>
  <c r="GB14" i="11"/>
  <c r="GA14" i="11"/>
  <c r="FZ14" i="11"/>
  <c r="FY14" i="11"/>
  <c r="FX14" i="11"/>
  <c r="IM14" i="11"/>
  <c r="IL14" i="11"/>
  <c r="IK14" i="11"/>
  <c r="IJ14" i="11"/>
  <c r="II14" i="11"/>
  <c r="IH14" i="11"/>
  <c r="IG14" i="11"/>
  <c r="IF14" i="11"/>
  <c r="IE14" i="11"/>
  <c r="ID14" i="11"/>
  <c r="IC14" i="11"/>
  <c r="IB14" i="11"/>
  <c r="FW14" i="11"/>
  <c r="FV14" i="11"/>
  <c r="FU14" i="11"/>
  <c r="FT14" i="11"/>
  <c r="FS14" i="11"/>
  <c r="FR14" i="11"/>
  <c r="FQ14" i="11"/>
  <c r="FP14" i="11"/>
  <c r="FO14" i="11"/>
  <c r="FN14" i="11"/>
  <c r="FM14" i="11"/>
  <c r="FL14" i="11"/>
  <c r="FK14" i="11"/>
  <c r="FJ14" i="11"/>
  <c r="FI14" i="11"/>
  <c r="FH14" i="11"/>
  <c r="FG14" i="11"/>
  <c r="FF14" i="11"/>
  <c r="FE14" i="11"/>
  <c r="FD14" i="11"/>
  <c r="FC14" i="11"/>
  <c r="FB14" i="11"/>
  <c r="FA14" i="11"/>
  <c r="EZ14" i="11"/>
  <c r="EY14" i="11"/>
  <c r="EX14" i="11"/>
  <c r="EW14" i="11"/>
  <c r="EV14" i="11"/>
  <c r="BP237" i="11"/>
  <c r="BO237" i="11"/>
  <c r="BN237" i="11"/>
  <c r="BM237" i="11"/>
  <c r="BL237" i="11"/>
  <c r="BK237" i="11"/>
  <c r="BJ237" i="11"/>
  <c r="BI237" i="11"/>
  <c r="BH237" i="11"/>
  <c r="BG237" i="11"/>
  <c r="BF237" i="11"/>
  <c r="BE237" i="11"/>
  <c r="BD14" i="11"/>
  <c r="BC14" i="11"/>
  <c r="BB14" i="11"/>
  <c r="BA14" i="11"/>
  <c r="AZ14" i="11"/>
  <c r="AY14" i="11"/>
  <c r="DY14" i="11"/>
  <c r="DX14" i="11"/>
  <c r="DD14" i="11"/>
  <c r="G234" i="12"/>
  <c r="EW71" i="1"/>
  <c r="AQ71" i="1"/>
  <c r="C228" i="12"/>
  <c r="B228" i="12"/>
  <c r="I71" i="1"/>
  <c r="DW71" i="1"/>
  <c r="C220" i="12"/>
  <c r="B220" i="12"/>
  <c r="I70" i="1"/>
  <c r="DW70" i="1"/>
  <c r="DW69" i="1"/>
  <c r="F69" i="1"/>
  <c r="G214" i="12"/>
  <c r="EW68" i="1"/>
  <c r="AQ68" i="1"/>
  <c r="C210" i="12"/>
  <c r="B210" i="12"/>
  <c r="I68" i="1"/>
  <c r="DW68" i="1"/>
  <c r="G206" i="12"/>
  <c r="EW66" i="1"/>
  <c r="AQ66" i="1"/>
  <c r="C201" i="12"/>
  <c r="B201" i="12"/>
  <c r="I66" i="1"/>
  <c r="DW66" i="1"/>
  <c r="DW65" i="1"/>
  <c r="F65" i="1"/>
  <c r="G194" i="12"/>
  <c r="EW64" i="1"/>
  <c r="AQ64" i="1"/>
  <c r="I64" i="1"/>
  <c r="DW64" i="1"/>
  <c r="DW63" i="1"/>
  <c r="F63" i="1"/>
  <c r="E182" i="12"/>
  <c r="DW62" i="1"/>
  <c r="F62" i="1"/>
  <c r="DW61" i="1"/>
  <c r="F61" i="1"/>
  <c r="DW60" i="1"/>
  <c r="F60" i="1"/>
  <c r="DW59" i="1"/>
  <c r="F59" i="1"/>
  <c r="DW58" i="1"/>
  <c r="F58" i="1"/>
  <c r="G176" i="12"/>
  <c r="EW57" i="1"/>
  <c r="AQ57" i="1"/>
  <c r="C169" i="12"/>
  <c r="B169" i="12"/>
  <c r="I57" i="1"/>
  <c r="DW57" i="1"/>
  <c r="DW56" i="1"/>
  <c r="F56" i="1"/>
  <c r="E163" i="12"/>
  <c r="DW55" i="1"/>
  <c r="F55" i="1"/>
  <c r="DW54" i="1"/>
  <c r="F54" i="1"/>
  <c r="DW53" i="1"/>
  <c r="F53" i="1"/>
  <c r="DW52" i="1"/>
  <c r="F52" i="1"/>
  <c r="DW51" i="1"/>
  <c r="F51" i="1"/>
  <c r="DW50" i="1"/>
  <c r="F50" i="1"/>
  <c r="DW49" i="1"/>
  <c r="F49" i="1"/>
  <c r="DW48" i="1"/>
  <c r="F48" i="1"/>
  <c r="G154" i="12"/>
  <c r="EW47" i="1"/>
  <c r="AQ47" i="1"/>
  <c r="C147" i="12"/>
  <c r="B147" i="12"/>
  <c r="I47" i="1"/>
  <c r="DW47" i="1"/>
  <c r="DW46" i="1"/>
  <c r="F46" i="1"/>
  <c r="DW45" i="1"/>
  <c r="F45" i="1"/>
  <c r="DW44" i="1"/>
  <c r="F44" i="1"/>
  <c r="DW43" i="1"/>
  <c r="F43" i="1"/>
  <c r="DW42" i="1"/>
  <c r="F42" i="1"/>
  <c r="DW41" i="1"/>
  <c r="F41" i="1"/>
  <c r="DW40" i="1"/>
  <c r="F40" i="1"/>
  <c r="E134" i="12"/>
  <c r="DW39" i="1"/>
  <c r="F39" i="1"/>
  <c r="E133" i="12"/>
  <c r="DW38" i="1"/>
  <c r="F38" i="1"/>
  <c r="DW37" i="1"/>
  <c r="F37" i="1"/>
  <c r="G131" i="12"/>
  <c r="EW36" i="1"/>
  <c r="AQ36" i="1"/>
  <c r="C124" i="12"/>
  <c r="B124" i="12"/>
  <c r="I36" i="1"/>
  <c r="DW36" i="1"/>
  <c r="DW35" i="1"/>
  <c r="F35" i="1"/>
  <c r="G117" i="12"/>
  <c r="EW34" i="1"/>
  <c r="AQ34" i="1"/>
  <c r="C110" i="12"/>
  <c r="B110" i="12"/>
  <c r="I34" i="1"/>
  <c r="DW34" i="1"/>
  <c r="DW33" i="1"/>
  <c r="F33" i="1"/>
  <c r="G104" i="12"/>
  <c r="EW32" i="1"/>
  <c r="AQ32" i="1"/>
  <c r="C98" i="12"/>
  <c r="B98" i="12"/>
  <c r="I32" i="1"/>
  <c r="DW32" i="1"/>
  <c r="G94" i="12"/>
  <c r="EW31" i="1"/>
  <c r="AQ31" i="1"/>
  <c r="C90" i="12"/>
  <c r="B90" i="12"/>
  <c r="I31" i="1"/>
  <c r="DW31" i="1"/>
  <c r="E85" i="12"/>
  <c r="DW30" i="1"/>
  <c r="F30" i="1"/>
  <c r="G84" i="12"/>
  <c r="EW29" i="1"/>
  <c r="AQ29" i="1"/>
  <c r="I29" i="1"/>
  <c r="DW29" i="1"/>
  <c r="G73" i="12"/>
  <c r="C74" i="12"/>
  <c r="B74" i="12"/>
  <c r="I28" i="1"/>
  <c r="DW28" i="1"/>
  <c r="E69" i="12"/>
  <c r="DW27" i="1"/>
  <c r="F27" i="1"/>
  <c r="G68" i="12"/>
  <c r="EW26" i="1"/>
  <c r="AQ26" i="1"/>
  <c r="C61" i="12"/>
  <c r="B61" i="12"/>
  <c r="I26" i="1"/>
  <c r="DW26" i="1"/>
  <c r="E56" i="12"/>
  <c r="DW25" i="1"/>
  <c r="F25" i="1"/>
  <c r="G55" i="12"/>
  <c r="EW24" i="1"/>
  <c r="AQ24" i="1"/>
  <c r="C48" i="12"/>
  <c r="B48" i="12"/>
  <c r="I24" i="1"/>
  <c r="DW24" i="1"/>
  <c r="BT35" i="12"/>
  <c r="BV34" i="12"/>
  <c r="BT31" i="12"/>
  <c r="BT30" i="12"/>
  <c r="BT29" i="12"/>
  <c r="BU23" i="12"/>
  <c r="BW14" i="12"/>
  <c r="BS13" i="12"/>
  <c r="BS12" i="12"/>
  <c r="BS11" i="12"/>
  <c r="BR10" i="12"/>
  <c r="BR9" i="12"/>
  <c r="BR8" i="12"/>
  <c r="BR7" i="12"/>
  <c r="IU14" i="8"/>
  <c r="IT14" i="8"/>
  <c r="IQ14" i="8"/>
  <c r="IP14" i="8"/>
  <c r="GD14" i="8"/>
  <c r="GA14" i="8"/>
  <c r="FZ14" i="8"/>
  <c r="IL14" i="8"/>
  <c r="IK14" i="8"/>
  <c r="IG14" i="8"/>
  <c r="IE14" i="8"/>
  <c r="ID14" i="8"/>
  <c r="IC14" i="8"/>
  <c r="FV14" i="8"/>
  <c r="FU14" i="8"/>
  <c r="FT14" i="8"/>
  <c r="FS14" i="8"/>
  <c r="FP14" i="8"/>
  <c r="FH14" i="8"/>
  <c r="FG14" i="8"/>
  <c r="FF14" i="8"/>
  <c r="FD14" i="8"/>
  <c r="FA14" i="8"/>
  <c r="BP237" i="8"/>
  <c r="BO237" i="8"/>
  <c r="BN237" i="8"/>
  <c r="BM237" i="8"/>
  <c r="BL237" i="8"/>
  <c r="BK237" i="8"/>
  <c r="BJ237" i="8"/>
  <c r="BI237" i="8"/>
  <c r="BH237" i="8"/>
  <c r="BG237" i="8"/>
  <c r="BF237" i="8"/>
  <c r="BE237" i="8"/>
  <c r="BD14" i="8"/>
  <c r="BC14" i="8"/>
  <c r="BB14" i="8"/>
  <c r="BA14" i="8"/>
  <c r="AZ14" i="8"/>
  <c r="AY14" i="8"/>
  <c r="DY14" i="8"/>
  <c r="DX14" i="8"/>
  <c r="DD14" i="8"/>
  <c r="BS71" i="1"/>
  <c r="EU71" i="1"/>
  <c r="AN71" i="1"/>
  <c r="BB71" i="1"/>
  <c r="ET71" i="1"/>
  <c r="AM71" i="1"/>
  <c r="BA71" i="1"/>
  <c r="EV71" i="1"/>
  <c r="AO71" i="1"/>
  <c r="BS70" i="1"/>
  <c r="EU70" i="1"/>
  <c r="AN70" i="1"/>
  <c r="BB70" i="1"/>
  <c r="DK124" i="3" s="1"/>
  <c r="ET70" i="1"/>
  <c r="ER70" i="1" s="1"/>
  <c r="AM70" i="1"/>
  <c r="AK70" i="1" s="1"/>
  <c r="BC69" i="1"/>
  <c r="ES69" i="1"/>
  <c r="AL69" i="1"/>
  <c r="BA68" i="1"/>
  <c r="DK121" i="3" s="1"/>
  <c r="EV68" i="1"/>
  <c r="ER68" i="1" s="1"/>
  <c r="AO68" i="1"/>
  <c r="AK68" i="1" s="1"/>
  <c r="BC66" i="1"/>
  <c r="DK114" i="3" s="1"/>
  <c r="ES66" i="1"/>
  <c r="AL66" i="1"/>
  <c r="BA66" i="1"/>
  <c r="DK113" i="3" s="1"/>
  <c r="EV66" i="1"/>
  <c r="AO66" i="1"/>
  <c r="BC65" i="1"/>
  <c r="ES65" i="1"/>
  <c r="AL65" i="1"/>
  <c r="BC64" i="1"/>
  <c r="ES64" i="1"/>
  <c r="AL64" i="1"/>
  <c r="BS64" i="1"/>
  <c r="EU64" i="1"/>
  <c r="AN64" i="1"/>
  <c r="BB64" i="1"/>
  <c r="ET64" i="1"/>
  <c r="AM64" i="1"/>
  <c r="BA64" i="1"/>
  <c r="EV64" i="1"/>
  <c r="AO64" i="1"/>
  <c r="BC63" i="1"/>
  <c r="ES63" i="1"/>
  <c r="AL63" i="1"/>
  <c r="BC62" i="1"/>
  <c r="ES62" i="1"/>
  <c r="AL62" i="1"/>
  <c r="BC61" i="1"/>
  <c r="ES61" i="1"/>
  <c r="AL61" i="1"/>
  <c r="BC60" i="1"/>
  <c r="ES60" i="1"/>
  <c r="AL60" i="1"/>
  <c r="BC59" i="1"/>
  <c r="ES59" i="1"/>
  <c r="AL59" i="1"/>
  <c r="BC58" i="1"/>
  <c r="ES58" i="1"/>
  <c r="AL58" i="1"/>
  <c r="BC57" i="1"/>
  <c r="ES57" i="1"/>
  <c r="AL57" i="1"/>
  <c r="BS57" i="1"/>
  <c r="EU57" i="1"/>
  <c r="AN57" i="1"/>
  <c r="BB57" i="1"/>
  <c r="ET57" i="1"/>
  <c r="AM57" i="1"/>
  <c r="BA57" i="1"/>
  <c r="EV57" i="1"/>
  <c r="AO57" i="1"/>
  <c r="BC56" i="1"/>
  <c r="ES56" i="1"/>
  <c r="AL56" i="1"/>
  <c r="BC55" i="1"/>
  <c r="ES55" i="1"/>
  <c r="AL55" i="1"/>
  <c r="BC54" i="1"/>
  <c r="ES54" i="1"/>
  <c r="AL54" i="1"/>
  <c r="BC53" i="1"/>
  <c r="ES53" i="1"/>
  <c r="AL53" i="1"/>
  <c r="BC52" i="1"/>
  <c r="ES52" i="1"/>
  <c r="AL52" i="1"/>
  <c r="BC51" i="1"/>
  <c r="ES51" i="1"/>
  <c r="AL51" i="1"/>
  <c r="BC50" i="1"/>
  <c r="ES50" i="1"/>
  <c r="AL50" i="1"/>
  <c r="BC49" i="1"/>
  <c r="ES49" i="1"/>
  <c r="AL49" i="1"/>
  <c r="BC48" i="1"/>
  <c r="ES48" i="1"/>
  <c r="AL48" i="1"/>
  <c r="BC47" i="1"/>
  <c r="ES47" i="1"/>
  <c r="AL47" i="1"/>
  <c r="BS47" i="1"/>
  <c r="EU47" i="1"/>
  <c r="AN47" i="1"/>
  <c r="BB47" i="1"/>
  <c r="ET47" i="1"/>
  <c r="AM47" i="1"/>
  <c r="BA47" i="1"/>
  <c r="EV47" i="1"/>
  <c r="AO47" i="1"/>
  <c r="BC46" i="1"/>
  <c r="ES46" i="1"/>
  <c r="AL46" i="1"/>
  <c r="BC45" i="1"/>
  <c r="ES45" i="1"/>
  <c r="AL45" i="1"/>
  <c r="BC44" i="1"/>
  <c r="ES44" i="1"/>
  <c r="AL44" i="1"/>
  <c r="BC43" i="1"/>
  <c r="ES43" i="1"/>
  <c r="AL43" i="1"/>
  <c r="BC42" i="1"/>
  <c r="ES42" i="1"/>
  <c r="AL42" i="1"/>
  <c r="BC41" i="1"/>
  <c r="ES41" i="1"/>
  <c r="AL41" i="1"/>
  <c r="BC40" i="1"/>
  <c r="ES40" i="1"/>
  <c r="AL40" i="1"/>
  <c r="BC39" i="1"/>
  <c r="ES39" i="1"/>
  <c r="AL39" i="1"/>
  <c r="BC38" i="1"/>
  <c r="ES38" i="1"/>
  <c r="AL38" i="1"/>
  <c r="BC37" i="1"/>
  <c r="ES37" i="1"/>
  <c r="AL37" i="1"/>
  <c r="BC36" i="1"/>
  <c r="ES36" i="1"/>
  <c r="AL36" i="1"/>
  <c r="BS36" i="1"/>
  <c r="EU36" i="1"/>
  <c r="AN36" i="1"/>
  <c r="BB36" i="1"/>
  <c r="ET36" i="1"/>
  <c r="AM36" i="1"/>
  <c r="BA36" i="1"/>
  <c r="EV36" i="1"/>
  <c r="AO36" i="1"/>
  <c r="BC35" i="1"/>
  <c r="ES35" i="1"/>
  <c r="AL35" i="1"/>
  <c r="BC34" i="1"/>
  <c r="ES34" i="1"/>
  <c r="AL34" i="1"/>
  <c r="BS34" i="1"/>
  <c r="EU34" i="1"/>
  <c r="AN34" i="1"/>
  <c r="BB34" i="1"/>
  <c r="ET34" i="1"/>
  <c r="AM34" i="1"/>
  <c r="BA34" i="1"/>
  <c r="EV34" i="1"/>
  <c r="AO34" i="1"/>
  <c r="BC33" i="1"/>
  <c r="ES33" i="1"/>
  <c r="AL33" i="1"/>
  <c r="BS32" i="1"/>
  <c r="EU32" i="1"/>
  <c r="AN32" i="1"/>
  <c r="BB32" i="1"/>
  <c r="DK19" i="3" s="1"/>
  <c r="ET32" i="1"/>
  <c r="AM32" i="1"/>
  <c r="BA32" i="1"/>
  <c r="EV32" i="1"/>
  <c r="AO32" i="1"/>
  <c r="BA31" i="1"/>
  <c r="DK16" i="3" s="1"/>
  <c r="EV31" i="1"/>
  <c r="ER31" i="1" s="1"/>
  <c r="AO31" i="1"/>
  <c r="AK31" i="1" s="1"/>
  <c r="BC30" i="1"/>
  <c r="ES30" i="1"/>
  <c r="AL30" i="1"/>
  <c r="BC29" i="1"/>
  <c r="DK15" i="3" s="1"/>
  <c r="ES29" i="1"/>
  <c r="AL29" i="1"/>
  <c r="BS29" i="1"/>
  <c r="EU29" i="1"/>
  <c r="AN29" i="1"/>
  <c r="BB29" i="1"/>
  <c r="ET29" i="1"/>
  <c r="AM29" i="1"/>
  <c r="BA29" i="1"/>
  <c r="EV29" i="1"/>
  <c r="AO29" i="1"/>
  <c r="AZ28" i="1"/>
  <c r="ER28" i="1"/>
  <c r="AK28" i="1"/>
  <c r="BC27" i="1"/>
  <c r="ES27" i="1"/>
  <c r="AL27" i="1"/>
  <c r="BC26" i="1"/>
  <c r="DK10" i="3" s="1"/>
  <c r="ES26" i="1"/>
  <c r="AL26" i="1"/>
  <c r="BS26" i="1"/>
  <c r="EU26" i="1"/>
  <c r="AN26" i="1"/>
  <c r="BB26" i="1"/>
  <c r="ET26" i="1"/>
  <c r="AM26" i="1"/>
  <c r="BA26" i="1"/>
  <c r="EV26" i="1"/>
  <c r="AO26" i="1"/>
  <c r="BC25" i="1"/>
  <c r="ES25" i="1"/>
  <c r="AL25" i="1"/>
  <c r="BC24" i="1"/>
  <c r="DK5" i="3" s="1"/>
  <c r="ES24" i="1"/>
  <c r="AL24" i="1"/>
  <c r="BS24" i="1"/>
  <c r="EU24" i="1"/>
  <c r="AN24" i="1"/>
  <c r="BB24" i="1"/>
  <c r="ET24" i="1"/>
  <c r="AM24" i="1"/>
  <c r="BA24" i="1"/>
  <c r="EV24" i="1"/>
  <c r="AO24" i="1"/>
  <c r="BV6" i="9"/>
  <c r="BT3" i="9"/>
  <c r="BT2" i="9"/>
  <c r="BT1" i="9"/>
  <c r="DK73" i="3" l="1"/>
  <c r="DK68" i="3"/>
  <c r="DK59" i="3"/>
  <c r="DK58" i="3"/>
  <c r="DK57" i="3"/>
  <c r="DK56" i="3"/>
  <c r="DK69" i="3"/>
  <c r="DK62" i="3"/>
  <c r="DK61" i="3"/>
  <c r="DK60" i="3"/>
  <c r="DK70" i="3"/>
  <c r="DK66" i="3"/>
  <c r="DK65" i="3"/>
  <c r="DK64" i="3"/>
  <c r="DK63" i="3"/>
  <c r="DK72" i="3"/>
  <c r="DK71" i="3"/>
  <c r="DK67" i="3"/>
  <c r="DK2" i="3"/>
  <c r="DK1" i="3"/>
  <c r="DK25" i="3"/>
  <c r="DK26" i="3"/>
  <c r="DK46" i="3"/>
  <c r="DK42" i="3"/>
  <c r="DK41" i="3"/>
  <c r="DK40" i="3"/>
  <c r="DK39" i="3"/>
  <c r="DK47" i="3"/>
  <c r="DK43" i="3"/>
  <c r="DK49" i="3"/>
  <c r="DK48" i="3"/>
  <c r="DK44" i="3"/>
  <c r="DK50" i="3"/>
  <c r="DK45" i="3"/>
  <c r="DK38" i="3"/>
  <c r="DK37" i="3"/>
  <c r="DK36" i="3"/>
  <c r="DK35" i="3"/>
  <c r="DK34" i="3"/>
  <c r="DK33" i="3"/>
  <c r="DK32" i="3"/>
  <c r="DK104" i="3"/>
  <c r="DK103" i="3"/>
  <c r="DK102" i="3"/>
  <c r="DK101" i="3"/>
  <c r="DK100" i="3"/>
  <c r="DK14" i="3"/>
  <c r="DK13" i="3"/>
  <c r="DK55" i="3"/>
  <c r="DK54" i="3"/>
  <c r="DK53" i="3"/>
  <c r="DK78" i="3"/>
  <c r="DK77" i="3"/>
  <c r="DK76" i="3"/>
  <c r="DK99" i="3"/>
  <c r="DK98" i="3"/>
  <c r="AK71" i="1"/>
  <c r="DK4" i="3"/>
  <c r="DK3" i="3"/>
  <c r="DK9" i="3"/>
  <c r="DK8" i="3"/>
  <c r="DK22" i="3"/>
  <c r="DK21" i="3"/>
  <c r="DK28" i="3"/>
  <c r="DK27" i="3"/>
  <c r="DK7" i="3"/>
  <c r="DK6" i="3"/>
  <c r="DK12" i="3"/>
  <c r="DK11" i="3"/>
  <c r="DK18" i="3"/>
  <c r="DK17" i="3"/>
  <c r="DK24" i="3"/>
  <c r="DK23" i="3"/>
  <c r="DK31" i="3"/>
  <c r="DK30" i="3"/>
  <c r="DK29" i="3"/>
  <c r="DK52" i="3"/>
  <c r="DK51" i="3"/>
  <c r="DK75" i="3"/>
  <c r="DK74" i="3"/>
  <c r="DK111" i="3"/>
  <c r="DK110" i="3"/>
  <c r="DK109" i="3"/>
  <c r="DK108" i="3"/>
  <c r="DK107" i="3"/>
  <c r="DK106" i="3"/>
  <c r="DK105" i="3"/>
  <c r="DK112" i="3"/>
  <c r="ER71" i="1"/>
  <c r="DK128" i="3"/>
  <c r="DK127" i="3"/>
  <c r="DK94" i="3"/>
  <c r="DK88" i="3"/>
  <c r="DK87" i="3"/>
  <c r="DK86" i="3"/>
  <c r="DK85" i="3"/>
  <c r="DK84" i="3"/>
  <c r="DK83" i="3"/>
  <c r="DK82" i="3"/>
  <c r="DK81" i="3"/>
  <c r="DK80" i="3"/>
  <c r="DK79" i="3"/>
  <c r="DK97" i="3"/>
  <c r="DK96" i="3"/>
  <c r="DK95" i="3"/>
  <c r="DK90" i="3"/>
  <c r="DK89" i="3"/>
  <c r="DK92" i="3"/>
  <c r="DK91" i="3"/>
  <c r="DK93" i="3"/>
  <c r="ER66" i="1"/>
  <c r="DK126" i="3"/>
  <c r="DK125" i="3"/>
  <c r="AK66" i="1"/>
  <c r="ER64" i="1"/>
  <c r="AK64" i="1"/>
  <c r="FJ14" i="8"/>
  <c r="ER47" i="1"/>
  <c r="AK57" i="1"/>
  <c r="ER57" i="1"/>
  <c r="AK47" i="1"/>
  <c r="AK36" i="1"/>
  <c r="AK34" i="1"/>
  <c r="ER36" i="1"/>
  <c r="ER34" i="1"/>
  <c r="AK32" i="1"/>
  <c r="ER32" i="1"/>
  <c r="ER29" i="1"/>
  <c r="AK29" i="1"/>
  <c r="ER26" i="1"/>
  <c r="AK26" i="1"/>
  <c r="ER24" i="1"/>
  <c r="AK24" i="1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" i="3"/>
  <c r="Y1" i="3"/>
  <c r="CY1" i="3"/>
  <c r="CZ1" i="3"/>
  <c r="DA1" i="3"/>
  <c r="DB1" i="3"/>
  <c r="DC1" i="3"/>
  <c r="A2" i="3"/>
  <c r="Y2" i="3"/>
  <c r="CY2" i="3"/>
  <c r="CZ2" i="3"/>
  <c r="DB2" i="3" s="1"/>
  <c r="DA2" i="3"/>
  <c r="DC2" i="3"/>
  <c r="A3" i="3"/>
  <c r="Y3" i="3"/>
  <c r="CY3" i="3"/>
  <c r="CZ3" i="3"/>
  <c r="DB3" i="3" s="1"/>
  <c r="DA3" i="3"/>
  <c r="DC3" i="3"/>
  <c r="A4" i="3"/>
  <c r="Y4" i="3"/>
  <c r="CY4" i="3"/>
  <c r="CZ4" i="3"/>
  <c r="DA4" i="3"/>
  <c r="DB4" i="3"/>
  <c r="DC4" i="3"/>
  <c r="A5" i="3"/>
  <c r="Y5" i="3"/>
  <c r="CY5" i="3"/>
  <c r="CZ5" i="3"/>
  <c r="DA5" i="3"/>
  <c r="DB5" i="3"/>
  <c r="DC5" i="3"/>
  <c r="A6" i="3"/>
  <c r="Y6" i="3"/>
  <c r="CY6" i="3"/>
  <c r="CZ6" i="3"/>
  <c r="DB6" i="3" s="1"/>
  <c r="DA6" i="3"/>
  <c r="DC6" i="3"/>
  <c r="A7" i="3"/>
  <c r="Y7" i="3"/>
  <c r="CY7" i="3"/>
  <c r="CZ7" i="3"/>
  <c r="DA7" i="3"/>
  <c r="DB7" i="3"/>
  <c r="DC7" i="3"/>
  <c r="A8" i="3"/>
  <c r="Y8" i="3"/>
  <c r="CY8" i="3"/>
  <c r="CZ8" i="3"/>
  <c r="DA8" i="3"/>
  <c r="DB8" i="3"/>
  <c r="DC8" i="3"/>
  <c r="A9" i="3"/>
  <c r="Y9" i="3"/>
  <c r="CY9" i="3"/>
  <c r="CZ9" i="3"/>
  <c r="DB9" i="3" s="1"/>
  <c r="DA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A11" i="3"/>
  <c r="DB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B13" i="3" s="1"/>
  <c r="DA13" i="3"/>
  <c r="DC13" i="3"/>
  <c r="A14" i="3"/>
  <c r="Y14" i="3"/>
  <c r="CY14" i="3"/>
  <c r="CZ14" i="3"/>
  <c r="DA14" i="3"/>
  <c r="DB14" i="3"/>
  <c r="DC14" i="3"/>
  <c r="A15" i="3"/>
  <c r="Y15" i="3"/>
  <c r="CY15" i="3"/>
  <c r="CZ15" i="3"/>
  <c r="DA15" i="3"/>
  <c r="DB15" i="3"/>
  <c r="DC15" i="3"/>
  <c r="A16" i="3"/>
  <c r="Y16" i="3"/>
  <c r="CY16" i="3"/>
  <c r="CZ16" i="3"/>
  <c r="DA16" i="3"/>
  <c r="DB16" i="3"/>
  <c r="DC16" i="3"/>
  <c r="A17" i="3"/>
  <c r="Y17" i="3"/>
  <c r="CY17" i="3"/>
  <c r="CZ17" i="3"/>
  <c r="DA17" i="3"/>
  <c r="DB17" i="3"/>
  <c r="DC17" i="3"/>
  <c r="A18" i="3"/>
  <c r="Y18" i="3"/>
  <c r="CY18" i="3"/>
  <c r="CZ18" i="3"/>
  <c r="DA18" i="3"/>
  <c r="DB18" i="3"/>
  <c r="DC18" i="3"/>
  <c r="A19" i="3"/>
  <c r="Y19" i="3"/>
  <c r="CY19" i="3"/>
  <c r="CZ19" i="3"/>
  <c r="DA19" i="3"/>
  <c r="DB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A21" i="3"/>
  <c r="DB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A23" i="3"/>
  <c r="DB23" i="3"/>
  <c r="DC23" i="3"/>
  <c r="A24" i="3"/>
  <c r="Y24" i="3"/>
  <c r="CY24" i="3"/>
  <c r="CZ24" i="3"/>
  <c r="DA24" i="3"/>
  <c r="DB24" i="3"/>
  <c r="DC24" i="3"/>
  <c r="A25" i="3"/>
  <c r="CY25" i="3"/>
  <c r="CZ25" i="3"/>
  <c r="DA25" i="3"/>
  <c r="DB25" i="3"/>
  <c r="DC25" i="3"/>
  <c r="A26" i="3"/>
  <c r="Y26" i="3"/>
  <c r="CY26" i="3"/>
  <c r="CZ26" i="3"/>
  <c r="DB26" i="3" s="1"/>
  <c r="DA26" i="3"/>
  <c r="DC26" i="3"/>
  <c r="A27" i="3"/>
  <c r="Y27" i="3"/>
  <c r="CY27" i="3"/>
  <c r="CZ27" i="3"/>
  <c r="DB27" i="3" s="1"/>
  <c r="DA27" i="3"/>
  <c r="DC27" i="3"/>
  <c r="A28" i="3"/>
  <c r="Y28" i="3"/>
  <c r="CY28" i="3"/>
  <c r="CZ28" i="3"/>
  <c r="DA28" i="3"/>
  <c r="DB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A30" i="3"/>
  <c r="DB30" i="3"/>
  <c r="DC30" i="3"/>
  <c r="A31" i="3"/>
  <c r="Y31" i="3"/>
  <c r="CY31" i="3"/>
  <c r="CZ31" i="3"/>
  <c r="DA31" i="3"/>
  <c r="DB31" i="3"/>
  <c r="DC31" i="3"/>
  <c r="A32" i="3"/>
  <c r="CY32" i="3"/>
  <c r="CZ32" i="3"/>
  <c r="DA32" i="3"/>
  <c r="DB32" i="3"/>
  <c r="DC32" i="3"/>
  <c r="A33" i="3"/>
  <c r="CY33" i="3"/>
  <c r="CZ33" i="3"/>
  <c r="DB33" i="3" s="1"/>
  <c r="DA33" i="3"/>
  <c r="DC33" i="3"/>
  <c r="A34" i="3"/>
  <c r="CY34" i="3"/>
  <c r="CZ34" i="3"/>
  <c r="DB34" i="3" s="1"/>
  <c r="DA34" i="3"/>
  <c r="DC34" i="3"/>
  <c r="A35" i="3"/>
  <c r="CY35" i="3"/>
  <c r="CZ35" i="3"/>
  <c r="DA35" i="3"/>
  <c r="DB35" i="3"/>
  <c r="DC35" i="3"/>
  <c r="A36" i="3"/>
  <c r="CY36" i="3"/>
  <c r="CZ36" i="3"/>
  <c r="DB36" i="3" s="1"/>
  <c r="DA36" i="3"/>
  <c r="DC36" i="3"/>
  <c r="A37" i="3"/>
  <c r="CY37" i="3"/>
  <c r="CZ37" i="3"/>
  <c r="DA37" i="3"/>
  <c r="DB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Y41" i="3"/>
  <c r="CZ41" i="3"/>
  <c r="DA41" i="3"/>
  <c r="DB41" i="3"/>
  <c r="DC41" i="3"/>
  <c r="A42" i="3"/>
  <c r="CY42" i="3"/>
  <c r="CZ42" i="3"/>
  <c r="DA42" i="3"/>
  <c r="DB42" i="3"/>
  <c r="DC42" i="3"/>
  <c r="A43" i="3"/>
  <c r="Y43" i="3"/>
  <c r="CY43" i="3"/>
  <c r="CZ43" i="3"/>
  <c r="DA43" i="3"/>
  <c r="DB43" i="3"/>
  <c r="DC43" i="3"/>
  <c r="A44" i="3"/>
  <c r="Y44" i="3"/>
  <c r="CY44" i="3"/>
  <c r="CZ44" i="3"/>
  <c r="DA44" i="3"/>
  <c r="DB44" i="3"/>
  <c r="DC44" i="3"/>
  <c r="A45" i="3"/>
  <c r="Y45" i="3"/>
  <c r="CY45" i="3"/>
  <c r="CZ45" i="3"/>
  <c r="DB45" i="3" s="1"/>
  <c r="DA45" i="3"/>
  <c r="DC45" i="3"/>
  <c r="A46" i="3"/>
  <c r="Y46" i="3"/>
  <c r="CY46" i="3"/>
  <c r="CZ46" i="3"/>
  <c r="DB46" i="3" s="1"/>
  <c r="DA46" i="3"/>
  <c r="DC46" i="3"/>
  <c r="A47" i="3"/>
  <c r="Y47" i="3"/>
  <c r="CY47" i="3"/>
  <c r="CZ47" i="3"/>
  <c r="DA47" i="3"/>
  <c r="DB47" i="3"/>
  <c r="DC47" i="3"/>
  <c r="A48" i="3"/>
  <c r="Y48" i="3"/>
  <c r="CY48" i="3"/>
  <c r="CZ48" i="3"/>
  <c r="DA48" i="3"/>
  <c r="DB48" i="3"/>
  <c r="DC48" i="3"/>
  <c r="A49" i="3"/>
  <c r="Y49" i="3"/>
  <c r="CY49" i="3"/>
  <c r="CZ49" i="3"/>
  <c r="DA49" i="3"/>
  <c r="DB49" i="3"/>
  <c r="DC49" i="3"/>
  <c r="A50" i="3"/>
  <c r="Y50" i="3"/>
  <c r="CY50" i="3"/>
  <c r="CZ50" i="3"/>
  <c r="DA50" i="3"/>
  <c r="DB50" i="3"/>
  <c r="DC50" i="3"/>
  <c r="A51" i="3"/>
  <c r="Y51" i="3"/>
  <c r="CY51" i="3"/>
  <c r="CZ51" i="3"/>
  <c r="DA51" i="3"/>
  <c r="DB51" i="3"/>
  <c r="DC51" i="3"/>
  <c r="A52" i="3"/>
  <c r="Y52" i="3"/>
  <c r="CY52" i="3"/>
  <c r="CZ52" i="3"/>
  <c r="DA52" i="3"/>
  <c r="DB52" i="3"/>
  <c r="DC52" i="3"/>
  <c r="A53" i="3"/>
  <c r="Y53" i="3"/>
  <c r="CY53" i="3"/>
  <c r="CZ53" i="3"/>
  <c r="DA53" i="3"/>
  <c r="DB53" i="3"/>
  <c r="DC53" i="3"/>
  <c r="A54" i="3"/>
  <c r="Y54" i="3"/>
  <c r="CY54" i="3"/>
  <c r="CZ54" i="3"/>
  <c r="DB54" i="3" s="1"/>
  <c r="DA54" i="3"/>
  <c r="DC54" i="3"/>
  <c r="A55" i="3"/>
  <c r="Y55" i="3"/>
  <c r="CY55" i="3"/>
  <c r="CZ55" i="3"/>
  <c r="DA55" i="3"/>
  <c r="DB55" i="3"/>
  <c r="DC55" i="3"/>
  <c r="A56" i="3"/>
  <c r="CY56" i="3"/>
  <c r="CZ56" i="3"/>
  <c r="DA56" i="3"/>
  <c r="DB56" i="3"/>
  <c r="DC56" i="3"/>
  <c r="A57" i="3"/>
  <c r="CY57" i="3"/>
  <c r="CZ57" i="3"/>
  <c r="DA57" i="3"/>
  <c r="DB57" i="3"/>
  <c r="DC57" i="3"/>
  <c r="A58" i="3"/>
  <c r="CY58" i="3"/>
  <c r="CZ58" i="3"/>
  <c r="DB58" i="3" s="1"/>
  <c r="DA58" i="3"/>
  <c r="DC58" i="3"/>
  <c r="A59" i="3"/>
  <c r="CY59" i="3"/>
  <c r="CZ59" i="3"/>
  <c r="DB59" i="3" s="1"/>
  <c r="DA59" i="3"/>
  <c r="DC59" i="3"/>
  <c r="A60" i="3"/>
  <c r="CY60" i="3"/>
  <c r="CZ60" i="3"/>
  <c r="DB60" i="3" s="1"/>
  <c r="DA60" i="3"/>
  <c r="DC60" i="3"/>
  <c r="A61" i="3"/>
  <c r="CY61" i="3"/>
  <c r="CZ61" i="3"/>
  <c r="DA61" i="3"/>
  <c r="DB61" i="3"/>
  <c r="DC61" i="3"/>
  <c r="A62" i="3"/>
  <c r="Y62" i="3"/>
  <c r="CY62" i="3"/>
  <c r="CZ62" i="3"/>
  <c r="DA62" i="3"/>
  <c r="DB62" i="3"/>
  <c r="DC62" i="3"/>
  <c r="A63" i="3"/>
  <c r="Y63" i="3"/>
  <c r="CY63" i="3"/>
  <c r="CZ63" i="3"/>
  <c r="DA63" i="3"/>
  <c r="DB63" i="3"/>
  <c r="DC63" i="3"/>
  <c r="A64" i="3"/>
  <c r="CY64" i="3"/>
  <c r="CZ64" i="3"/>
  <c r="DB64" i="3" s="1"/>
  <c r="DA64" i="3"/>
  <c r="DC64" i="3"/>
  <c r="A65" i="3"/>
  <c r="CY65" i="3"/>
  <c r="CZ65" i="3"/>
  <c r="DB65" i="3" s="1"/>
  <c r="DA65" i="3"/>
  <c r="DC65" i="3"/>
  <c r="A66" i="3"/>
  <c r="CY66" i="3"/>
  <c r="CZ66" i="3"/>
  <c r="DA66" i="3"/>
  <c r="DB66" i="3"/>
  <c r="DC66" i="3"/>
  <c r="A67" i="3"/>
  <c r="Y67" i="3"/>
  <c r="CY67" i="3"/>
  <c r="CZ67" i="3"/>
  <c r="DB67" i="3" s="1"/>
  <c r="DA67" i="3"/>
  <c r="DC67" i="3"/>
  <c r="A68" i="3"/>
  <c r="Y68" i="3"/>
  <c r="CY68" i="3"/>
  <c r="CZ68" i="3"/>
  <c r="DB68" i="3" s="1"/>
  <c r="DA68" i="3"/>
  <c r="DC68" i="3"/>
  <c r="A69" i="3"/>
  <c r="Y69" i="3"/>
  <c r="CY69" i="3"/>
  <c r="CZ69" i="3"/>
  <c r="DA69" i="3"/>
  <c r="DB69" i="3"/>
  <c r="DC69" i="3"/>
  <c r="A70" i="3"/>
  <c r="Y70" i="3"/>
  <c r="CY70" i="3"/>
  <c r="CZ70" i="3"/>
  <c r="DB70" i="3" s="1"/>
  <c r="DA70" i="3"/>
  <c r="DC70" i="3"/>
  <c r="A71" i="3"/>
  <c r="Y71" i="3"/>
  <c r="CY71" i="3"/>
  <c r="CZ71" i="3"/>
  <c r="DB71" i="3" s="1"/>
  <c r="DA71" i="3"/>
  <c r="DC71" i="3"/>
  <c r="A72" i="3"/>
  <c r="Y72" i="3"/>
  <c r="CY72" i="3"/>
  <c r="CZ72" i="3"/>
  <c r="DB72" i="3" s="1"/>
  <c r="DA72" i="3"/>
  <c r="DC72" i="3"/>
  <c r="A73" i="3"/>
  <c r="Y73" i="3"/>
  <c r="CY73" i="3"/>
  <c r="CZ73" i="3"/>
  <c r="DA73" i="3"/>
  <c r="DB73" i="3"/>
  <c r="DC73" i="3"/>
  <c r="A74" i="3"/>
  <c r="Y74" i="3"/>
  <c r="CY74" i="3"/>
  <c r="CZ74" i="3"/>
  <c r="DB74" i="3" s="1"/>
  <c r="DA74" i="3"/>
  <c r="DC74" i="3"/>
  <c r="A75" i="3"/>
  <c r="Y75" i="3"/>
  <c r="CY75" i="3"/>
  <c r="CZ75" i="3"/>
  <c r="DB75" i="3" s="1"/>
  <c r="DA75" i="3"/>
  <c r="DC75" i="3"/>
  <c r="A76" i="3"/>
  <c r="Y76" i="3"/>
  <c r="CY76" i="3"/>
  <c r="CZ76" i="3"/>
  <c r="DA76" i="3"/>
  <c r="DB76" i="3"/>
  <c r="DC76" i="3"/>
  <c r="A77" i="3"/>
  <c r="Y77" i="3"/>
  <c r="CY77" i="3"/>
  <c r="CZ77" i="3"/>
  <c r="DA77" i="3"/>
  <c r="DB77" i="3"/>
  <c r="DC77" i="3"/>
  <c r="A78" i="3"/>
  <c r="Y78" i="3"/>
  <c r="CY78" i="3"/>
  <c r="CZ78" i="3"/>
  <c r="DB78" i="3" s="1"/>
  <c r="DA78" i="3"/>
  <c r="DC78" i="3"/>
  <c r="A79" i="3"/>
  <c r="CY79" i="3"/>
  <c r="CZ79" i="3"/>
  <c r="DA79" i="3"/>
  <c r="DB79" i="3"/>
  <c r="DC79" i="3"/>
  <c r="A80" i="3"/>
  <c r="CY80" i="3"/>
  <c r="CZ80" i="3"/>
  <c r="DA80" i="3"/>
  <c r="DB80" i="3"/>
  <c r="DC80" i="3"/>
  <c r="A81" i="3"/>
  <c r="CY81" i="3"/>
  <c r="CZ81" i="3"/>
  <c r="DA81" i="3"/>
  <c r="DB81" i="3"/>
  <c r="DC81" i="3"/>
  <c r="A82" i="3"/>
  <c r="CY82" i="3"/>
  <c r="CZ82" i="3"/>
  <c r="DA82" i="3"/>
  <c r="DB82" i="3"/>
  <c r="DC82" i="3"/>
  <c r="A83" i="3"/>
  <c r="CY83" i="3"/>
  <c r="CZ83" i="3"/>
  <c r="DB83" i="3" s="1"/>
  <c r="DA83" i="3"/>
  <c r="DC83" i="3"/>
  <c r="A84" i="3"/>
  <c r="CY84" i="3"/>
  <c r="CZ84" i="3"/>
  <c r="DB84" i="3" s="1"/>
  <c r="DA84" i="3"/>
  <c r="DC84" i="3"/>
  <c r="A85" i="3"/>
  <c r="CY85" i="3"/>
  <c r="CZ85" i="3"/>
  <c r="DA85" i="3"/>
  <c r="DB85" i="3"/>
  <c r="DC85" i="3"/>
  <c r="A86" i="3"/>
  <c r="CY86" i="3"/>
  <c r="CZ86" i="3"/>
  <c r="DA86" i="3"/>
  <c r="DB86" i="3"/>
  <c r="DC86" i="3"/>
  <c r="A87" i="3"/>
  <c r="CY87" i="3"/>
  <c r="CZ87" i="3"/>
  <c r="DA87" i="3"/>
  <c r="DB87" i="3"/>
  <c r="DC87" i="3"/>
  <c r="A88" i="3"/>
  <c r="Y88" i="3"/>
  <c r="CY88" i="3"/>
  <c r="CZ88" i="3"/>
  <c r="DA88" i="3"/>
  <c r="DB88" i="3"/>
  <c r="DC88" i="3"/>
  <c r="A89" i="3"/>
  <c r="Y89" i="3"/>
  <c r="CY89" i="3"/>
  <c r="CZ89" i="3"/>
  <c r="DB89" i="3" s="1"/>
  <c r="DA89" i="3"/>
  <c r="DC89" i="3"/>
  <c r="A90" i="3"/>
  <c r="CY90" i="3"/>
  <c r="CZ90" i="3"/>
  <c r="DB90" i="3" s="1"/>
  <c r="DA90" i="3"/>
  <c r="DC90" i="3"/>
  <c r="A91" i="3"/>
  <c r="CY91" i="3"/>
  <c r="CZ91" i="3"/>
  <c r="DA91" i="3"/>
  <c r="DB91" i="3"/>
  <c r="DC91" i="3"/>
  <c r="A92" i="3"/>
  <c r="CY92" i="3"/>
  <c r="CZ92" i="3"/>
  <c r="DA92" i="3"/>
  <c r="DB92" i="3"/>
  <c r="DC92" i="3"/>
  <c r="A93" i="3"/>
  <c r="Y93" i="3"/>
  <c r="CY93" i="3"/>
  <c r="CZ93" i="3"/>
  <c r="DA93" i="3"/>
  <c r="DB93" i="3"/>
  <c r="DC93" i="3"/>
  <c r="A94" i="3"/>
  <c r="Y94" i="3"/>
  <c r="CY94" i="3"/>
  <c r="CZ94" i="3"/>
  <c r="DA94" i="3"/>
  <c r="DB94" i="3"/>
  <c r="DC94" i="3"/>
  <c r="A95" i="3"/>
  <c r="Y95" i="3"/>
  <c r="CY95" i="3"/>
  <c r="CZ95" i="3"/>
  <c r="DB95" i="3" s="1"/>
  <c r="DA95" i="3"/>
  <c r="DC95" i="3"/>
  <c r="A96" i="3"/>
  <c r="Y96" i="3"/>
  <c r="CY96" i="3"/>
  <c r="CZ96" i="3"/>
  <c r="DB96" i="3" s="1"/>
  <c r="DA96" i="3"/>
  <c r="DC96" i="3"/>
  <c r="A97" i="3"/>
  <c r="CY97" i="3"/>
  <c r="CZ97" i="3"/>
  <c r="DA97" i="3"/>
  <c r="DB97" i="3"/>
  <c r="DC97" i="3"/>
  <c r="A98" i="3"/>
  <c r="Y98" i="3"/>
  <c r="CV98" i="3" s="1"/>
  <c r="CU98" i="3"/>
  <c r="CY98" i="3"/>
  <c r="CZ98" i="3"/>
  <c r="DA98" i="3"/>
  <c r="DB98" i="3"/>
  <c r="DC98" i="3"/>
  <c r="A99" i="3"/>
  <c r="Y99" i="3"/>
  <c r="CX99" i="3"/>
  <c r="CY99" i="3"/>
  <c r="CZ99" i="3"/>
  <c r="DB99" i="3" s="1"/>
  <c r="DA99" i="3"/>
  <c r="DC99" i="3"/>
  <c r="A100" i="3"/>
  <c r="Y100" i="3"/>
  <c r="CW100" i="3"/>
  <c r="CX100" i="3"/>
  <c r="CY100" i="3"/>
  <c r="CZ100" i="3"/>
  <c r="DA100" i="3"/>
  <c r="DB100" i="3"/>
  <c r="DC100" i="3"/>
  <c r="A101" i="3"/>
  <c r="Y101" i="3"/>
  <c r="CX101" i="3" s="1"/>
  <c r="CW101" i="3"/>
  <c r="CY101" i="3"/>
  <c r="CZ101" i="3"/>
  <c r="DA101" i="3"/>
  <c r="DB101" i="3"/>
  <c r="DC101" i="3"/>
  <c r="A102" i="3"/>
  <c r="Y102" i="3"/>
  <c r="CW102" i="3" s="1"/>
  <c r="CX102" i="3"/>
  <c r="CY102" i="3"/>
  <c r="CZ102" i="3"/>
  <c r="DB102" i="3" s="1"/>
  <c r="DA102" i="3"/>
  <c r="DC102" i="3"/>
  <c r="A103" i="3"/>
  <c r="Y103" i="3"/>
  <c r="CW103" i="3"/>
  <c r="CX103" i="3"/>
  <c r="CY103" i="3"/>
  <c r="CZ103" i="3"/>
  <c r="DA103" i="3"/>
  <c r="DB103" i="3"/>
  <c r="DC103" i="3"/>
  <c r="A104" i="3"/>
  <c r="Y104" i="3"/>
  <c r="CX104" i="3" s="1"/>
  <c r="CW104" i="3"/>
  <c r="CY104" i="3"/>
  <c r="CZ104" i="3"/>
  <c r="DA104" i="3"/>
  <c r="DB104" i="3"/>
  <c r="DC104" i="3"/>
  <c r="A105" i="3"/>
  <c r="CX105" i="3"/>
  <c r="P30" i="14" s="1"/>
  <c r="O30" i="14" s="1"/>
  <c r="E30" i="14" s="1"/>
  <c r="CY105" i="3"/>
  <c r="CZ105" i="3"/>
  <c r="DA105" i="3"/>
  <c r="DB105" i="3"/>
  <c r="DC105" i="3"/>
  <c r="A106" i="3"/>
  <c r="CX106" i="3"/>
  <c r="CY106" i="3"/>
  <c r="CZ106" i="3"/>
  <c r="DB106" i="3" s="1"/>
  <c r="DA106" i="3"/>
  <c r="DC106" i="3"/>
  <c r="A107" i="3"/>
  <c r="CX107" i="3"/>
  <c r="P44" i="14" s="1"/>
  <c r="O44" i="14" s="1"/>
  <c r="E44" i="14" s="1"/>
  <c r="CY107" i="3"/>
  <c r="CZ107" i="3"/>
  <c r="DB107" i="3" s="1"/>
  <c r="DA107" i="3"/>
  <c r="DC107" i="3"/>
  <c r="A108" i="3"/>
  <c r="CX108" i="3"/>
  <c r="P32" i="14" s="1"/>
  <c r="O32" i="14" s="1"/>
  <c r="E32" i="14" s="1"/>
  <c r="CY108" i="3"/>
  <c r="CZ108" i="3"/>
  <c r="DA108" i="3"/>
  <c r="DB108" i="3"/>
  <c r="DC108" i="3"/>
  <c r="DF108" i="3"/>
  <c r="A109" i="3"/>
  <c r="CX109" i="3"/>
  <c r="P33" i="14" s="1"/>
  <c r="O33" i="14" s="1"/>
  <c r="E33" i="14" s="1"/>
  <c r="CY109" i="3"/>
  <c r="CZ109" i="3"/>
  <c r="DA109" i="3"/>
  <c r="DB109" i="3"/>
  <c r="DC109" i="3"/>
  <c r="DF109" i="3"/>
  <c r="A110" i="3"/>
  <c r="CX110" i="3"/>
  <c r="P43" i="14" s="1"/>
  <c r="O43" i="14" s="1"/>
  <c r="E43" i="14" s="1"/>
  <c r="CY110" i="3"/>
  <c r="CZ110" i="3"/>
  <c r="DA110" i="3"/>
  <c r="DB110" i="3"/>
  <c r="DC110" i="3"/>
  <c r="A111" i="3"/>
  <c r="CX111" i="3"/>
  <c r="P25" i="14" s="1"/>
  <c r="O25" i="14" s="1"/>
  <c r="E25" i="14" s="1"/>
  <c r="CY111" i="3"/>
  <c r="CZ111" i="3"/>
  <c r="DA111" i="3"/>
  <c r="DB111" i="3"/>
  <c r="DC111" i="3"/>
  <c r="A112" i="3"/>
  <c r="Y112" i="3"/>
  <c r="CX112" i="3"/>
  <c r="DF112" i="3" s="1"/>
  <c r="DJ112" i="3" s="1"/>
  <c r="CY112" i="3"/>
  <c r="CZ112" i="3"/>
  <c r="DB112" i="3" s="1"/>
  <c r="DA112" i="3"/>
  <c r="DC112" i="3"/>
  <c r="A113" i="3"/>
  <c r="Y113" i="3"/>
  <c r="CY113" i="3"/>
  <c r="CZ113" i="3"/>
  <c r="DA113" i="3"/>
  <c r="DB113" i="3"/>
  <c r="DC113" i="3"/>
  <c r="A114" i="3"/>
  <c r="CY114" i="3"/>
  <c r="CZ114" i="3"/>
  <c r="DA114" i="3"/>
  <c r="DB114" i="3"/>
  <c r="DC114" i="3"/>
  <c r="A115" i="3"/>
  <c r="Y115" i="3"/>
  <c r="CU115" i="3"/>
  <c r="CV115" i="3"/>
  <c r="CX115" i="3"/>
  <c r="CY115" i="3"/>
  <c r="CZ115" i="3"/>
  <c r="DB115" i="3" s="1"/>
  <c r="DA115" i="3"/>
  <c r="DC115" i="3"/>
  <c r="DF115" i="3"/>
  <c r="DG115" i="3"/>
  <c r="A116" i="3"/>
  <c r="Y116" i="3"/>
  <c r="CX116" i="3"/>
  <c r="DG116" i="3" s="1"/>
  <c r="CY116" i="3"/>
  <c r="CZ116" i="3"/>
  <c r="DA116" i="3"/>
  <c r="DB116" i="3"/>
  <c r="DC116" i="3"/>
  <c r="DF116" i="3"/>
  <c r="A117" i="3"/>
  <c r="Y117" i="3"/>
  <c r="CX117" i="3" s="1"/>
  <c r="CY117" i="3"/>
  <c r="CZ117" i="3"/>
  <c r="DA117" i="3"/>
  <c r="DB117" i="3"/>
  <c r="DC117" i="3"/>
  <c r="A118" i="3"/>
  <c r="Y118" i="3"/>
  <c r="CX118" i="3" s="1"/>
  <c r="CY118" i="3"/>
  <c r="CZ118" i="3"/>
  <c r="DA118" i="3"/>
  <c r="DB118" i="3"/>
  <c r="DC118" i="3"/>
  <c r="A119" i="3"/>
  <c r="Y119" i="3"/>
  <c r="CX119" i="3"/>
  <c r="CY119" i="3"/>
  <c r="CZ119" i="3"/>
  <c r="DA119" i="3"/>
  <c r="DB119" i="3"/>
  <c r="DC119" i="3"/>
  <c r="DF119" i="3"/>
  <c r="DG119" i="3"/>
  <c r="A120" i="3"/>
  <c r="Y120" i="3"/>
  <c r="CX120" i="3"/>
  <c r="CY120" i="3"/>
  <c r="CZ120" i="3"/>
  <c r="DB120" i="3" s="1"/>
  <c r="DA120" i="3"/>
  <c r="DC120" i="3"/>
  <c r="DF120" i="3"/>
  <c r="DG120" i="3"/>
  <c r="A121" i="3"/>
  <c r="Y121" i="3"/>
  <c r="CY121" i="3"/>
  <c r="CZ121" i="3"/>
  <c r="DA121" i="3"/>
  <c r="DB121" i="3"/>
  <c r="DC121" i="3"/>
  <c r="A122" i="3"/>
  <c r="Y122" i="3"/>
  <c r="CY122" i="3"/>
  <c r="CZ122" i="3"/>
  <c r="DA122" i="3"/>
  <c r="DB122" i="3"/>
  <c r="DC122" i="3"/>
  <c r="A123" i="3"/>
  <c r="Y123" i="3"/>
  <c r="CY123" i="3"/>
  <c r="CZ123" i="3"/>
  <c r="DA123" i="3"/>
  <c r="DB123" i="3"/>
  <c r="DC123" i="3"/>
  <c r="A124" i="3"/>
  <c r="Y124" i="3"/>
  <c r="CY124" i="3"/>
  <c r="CZ124" i="3"/>
  <c r="DB124" i="3" s="1"/>
  <c r="DA124" i="3"/>
  <c r="DC124" i="3"/>
  <c r="A125" i="3"/>
  <c r="Y125" i="3"/>
  <c r="CY125" i="3"/>
  <c r="CZ125" i="3"/>
  <c r="DA125" i="3"/>
  <c r="DB125" i="3"/>
  <c r="DC125" i="3"/>
  <c r="A126" i="3"/>
  <c r="Y126" i="3"/>
  <c r="CY126" i="3"/>
  <c r="CZ126" i="3"/>
  <c r="DA126" i="3"/>
  <c r="DB126" i="3"/>
  <c r="DC126" i="3"/>
  <c r="A127" i="3"/>
  <c r="Y127" i="3"/>
  <c r="CY127" i="3"/>
  <c r="CZ127" i="3"/>
  <c r="DB127" i="3" s="1"/>
  <c r="DA127" i="3"/>
  <c r="DC127" i="3"/>
  <c r="A128" i="3"/>
  <c r="Y128" i="3"/>
  <c r="CY128" i="3"/>
  <c r="CZ128" i="3"/>
  <c r="DA128" i="3"/>
  <c r="DB128" i="3"/>
  <c r="DC12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4" i="1"/>
  <c r="D24" i="1"/>
  <c r="K24" i="1"/>
  <c r="AC24" i="1"/>
  <c r="AE24" i="1"/>
  <c r="CR24" i="1" s="1"/>
  <c r="Q24" i="1" s="1"/>
  <c r="AF24" i="1"/>
  <c r="AG24" i="1"/>
  <c r="CU24" i="1" s="1"/>
  <c r="T24" i="1" s="1"/>
  <c r="AH24" i="1"/>
  <c r="AI24" i="1"/>
  <c r="AJ24" i="1"/>
  <c r="CW24" i="1"/>
  <c r="V24" i="1" s="1"/>
  <c r="CX24" i="1"/>
  <c r="W24" i="1" s="1"/>
  <c r="FR24" i="1"/>
  <c r="GL24" i="1"/>
  <c r="GO24" i="1"/>
  <c r="GP24" i="1"/>
  <c r="GV24" i="1"/>
  <c r="HC24" i="1"/>
  <c r="GX24" i="1" s="1"/>
  <c r="I25" i="1"/>
  <c r="Y25" i="1"/>
  <c r="AC25" i="1"/>
  <c r="AD25" i="1"/>
  <c r="AE25" i="1"/>
  <c r="AF25" i="1"/>
  <c r="AG25" i="1"/>
  <c r="AH25" i="1"/>
  <c r="CV25" i="1" s="1"/>
  <c r="AI25" i="1"/>
  <c r="CW25" i="1" s="1"/>
  <c r="AJ25" i="1"/>
  <c r="CX25" i="1" s="1"/>
  <c r="CR25" i="1"/>
  <c r="CS25" i="1"/>
  <c r="CT25" i="1"/>
  <c r="CU25" i="1"/>
  <c r="CY25" i="1"/>
  <c r="X25" i="1" s="1"/>
  <c r="CZ25" i="1"/>
  <c r="FR25" i="1"/>
  <c r="GL25" i="1"/>
  <c r="GO25" i="1"/>
  <c r="GP25" i="1"/>
  <c r="GV25" i="1"/>
  <c r="HC25" i="1" s="1"/>
  <c r="C26" i="1"/>
  <c r="D26" i="1"/>
  <c r="K26" i="1"/>
  <c r="W26" i="1"/>
  <c r="AC26" i="1"/>
  <c r="AE26" i="1"/>
  <c r="AF26" i="1"/>
  <c r="AG26" i="1"/>
  <c r="CU26" i="1" s="1"/>
  <c r="T26" i="1" s="1"/>
  <c r="AH26" i="1"/>
  <c r="AI26" i="1"/>
  <c r="AJ26" i="1"/>
  <c r="CW26" i="1"/>
  <c r="V26" i="1" s="1"/>
  <c r="CX26" i="1"/>
  <c r="FR26" i="1"/>
  <c r="GL26" i="1"/>
  <c r="GO26" i="1"/>
  <c r="GP26" i="1"/>
  <c r="GV26" i="1"/>
  <c r="GX26" i="1"/>
  <c r="HC26" i="1"/>
  <c r="I27" i="1"/>
  <c r="X27" i="1"/>
  <c r="AC27" i="1"/>
  <c r="AE27" i="1"/>
  <c r="AD27" i="1" s="1"/>
  <c r="AF27" i="1"/>
  <c r="AG27" i="1"/>
  <c r="CU27" i="1" s="1"/>
  <c r="AH27" i="1"/>
  <c r="CV27" i="1" s="1"/>
  <c r="AI27" i="1"/>
  <c r="CW27" i="1" s="1"/>
  <c r="AJ27" i="1"/>
  <c r="CR27" i="1"/>
  <c r="CS27" i="1"/>
  <c r="CT27" i="1"/>
  <c r="CX27" i="1"/>
  <c r="CY27" i="1"/>
  <c r="CZ27" i="1"/>
  <c r="Y27" i="1" s="1"/>
  <c r="FR27" i="1"/>
  <c r="GL27" i="1"/>
  <c r="GO27" i="1"/>
  <c r="GP27" i="1"/>
  <c r="GV27" i="1"/>
  <c r="HC27" i="1"/>
  <c r="K28" i="1"/>
  <c r="O28" i="1"/>
  <c r="P28" i="1"/>
  <c r="Q28" i="1"/>
  <c r="R28" i="1"/>
  <c r="S28" i="1"/>
  <c r="T28" i="1"/>
  <c r="U28" i="1"/>
  <c r="V28" i="1"/>
  <c r="W28" i="1"/>
  <c r="X28" i="1"/>
  <c r="Y28" i="1"/>
  <c r="AB28" i="1"/>
  <c r="AC28" i="1"/>
  <c r="AD28" i="1"/>
  <c r="AE28" i="1"/>
  <c r="AF28" i="1"/>
  <c r="AG28" i="1"/>
  <c r="AH28" i="1"/>
  <c r="AI28" i="1"/>
  <c r="AJ28" i="1"/>
  <c r="FR28" i="1"/>
  <c r="GL28" i="1"/>
  <c r="GO28" i="1"/>
  <c r="GP28" i="1"/>
  <c r="GV28" i="1"/>
  <c r="GX28" i="1"/>
  <c r="C29" i="1"/>
  <c r="D29" i="1"/>
  <c r="T29" i="1"/>
  <c r="K29" i="1"/>
  <c r="AC29" i="1"/>
  <c r="AE29" i="1"/>
  <c r="AF29" i="1"/>
  <c r="AG29" i="1"/>
  <c r="AH29" i="1"/>
  <c r="AI29" i="1"/>
  <c r="CW29" i="1" s="1"/>
  <c r="AJ29" i="1"/>
  <c r="CX29" i="1" s="1"/>
  <c r="CU29" i="1"/>
  <c r="FR29" i="1"/>
  <c r="GL29" i="1"/>
  <c r="GO29" i="1"/>
  <c r="GP29" i="1"/>
  <c r="GV29" i="1"/>
  <c r="HC29" i="1" s="1"/>
  <c r="X30" i="1"/>
  <c r="AC30" i="1"/>
  <c r="CQ30" i="1" s="1"/>
  <c r="AD30" i="1"/>
  <c r="AE30" i="1"/>
  <c r="CS30" i="1" s="1"/>
  <c r="AF30" i="1"/>
  <c r="CT30" i="1" s="1"/>
  <c r="AG30" i="1"/>
  <c r="AH30" i="1"/>
  <c r="AI30" i="1"/>
  <c r="AJ30" i="1"/>
  <c r="CX30" i="1" s="1"/>
  <c r="CU30" i="1"/>
  <c r="CV30" i="1"/>
  <c r="CW30" i="1"/>
  <c r="CY30" i="1"/>
  <c r="CZ30" i="1"/>
  <c r="Y30" i="1" s="1"/>
  <c r="FR30" i="1"/>
  <c r="GL30" i="1"/>
  <c r="GO30" i="1"/>
  <c r="GP30" i="1"/>
  <c r="GV30" i="1"/>
  <c r="HC30" i="1"/>
  <c r="C31" i="1"/>
  <c r="D31" i="1"/>
  <c r="K31" i="1"/>
  <c r="AC31" i="1"/>
  <c r="CQ31" i="1" s="1"/>
  <c r="P31" i="1" s="1"/>
  <c r="AD31" i="1"/>
  <c r="AE31" i="1"/>
  <c r="AF31" i="1"/>
  <c r="AG31" i="1"/>
  <c r="AH31" i="1"/>
  <c r="AI31" i="1"/>
  <c r="CW31" i="1" s="1"/>
  <c r="V31" i="1" s="1"/>
  <c r="AJ31" i="1"/>
  <c r="CR31" i="1"/>
  <c r="Q31" i="1" s="1"/>
  <c r="CS31" i="1"/>
  <c r="R31" i="1" s="1"/>
  <c r="CU31" i="1"/>
  <c r="T31" i="1" s="1"/>
  <c r="CX31" i="1"/>
  <c r="W31" i="1" s="1"/>
  <c r="FR31" i="1"/>
  <c r="GL31" i="1"/>
  <c r="GO31" i="1"/>
  <c r="GP31" i="1"/>
  <c r="GV31" i="1"/>
  <c r="HC31" i="1" s="1"/>
  <c r="GX31" i="1" s="1"/>
  <c r="C32" i="1"/>
  <c r="D32" i="1"/>
  <c r="K32" i="1"/>
  <c r="W32" i="1"/>
  <c r="AC32" i="1"/>
  <c r="AE32" i="1"/>
  <c r="CS32" i="1" s="1"/>
  <c r="R32" i="1" s="1"/>
  <c r="AF32" i="1"/>
  <c r="AG32" i="1"/>
  <c r="CU32" i="1" s="1"/>
  <c r="T32" i="1" s="1"/>
  <c r="AH32" i="1"/>
  <c r="AI32" i="1"/>
  <c r="AJ32" i="1"/>
  <c r="CQ32" i="1"/>
  <c r="P32" i="1" s="1"/>
  <c r="CW32" i="1"/>
  <c r="V32" i="1" s="1"/>
  <c r="CX32" i="1"/>
  <c r="FR32" i="1"/>
  <c r="GL32" i="1"/>
  <c r="GO32" i="1"/>
  <c r="GP32" i="1"/>
  <c r="GV32" i="1"/>
  <c r="GX32" i="1"/>
  <c r="HC32" i="1"/>
  <c r="I33" i="1"/>
  <c r="X33" i="1"/>
  <c r="AC33" i="1"/>
  <c r="AE33" i="1"/>
  <c r="AD33" i="1" s="1"/>
  <c r="AF33" i="1"/>
  <c r="CT33" i="1" s="1"/>
  <c r="AG33" i="1"/>
  <c r="CU33" i="1" s="1"/>
  <c r="AH33" i="1"/>
  <c r="CV33" i="1" s="1"/>
  <c r="AI33" i="1"/>
  <c r="AJ33" i="1"/>
  <c r="CR33" i="1"/>
  <c r="CS33" i="1"/>
  <c r="CW33" i="1"/>
  <c r="CX33" i="1"/>
  <c r="CY33" i="1"/>
  <c r="CZ33" i="1"/>
  <c r="Y33" i="1" s="1"/>
  <c r="FR33" i="1"/>
  <c r="GL33" i="1"/>
  <c r="GO33" i="1"/>
  <c r="GP33" i="1"/>
  <c r="GV33" i="1"/>
  <c r="HC33" i="1"/>
  <c r="C34" i="1"/>
  <c r="D34" i="1"/>
  <c r="K34" i="1"/>
  <c r="AC34" i="1"/>
  <c r="AE34" i="1"/>
  <c r="CR34" i="1" s="1"/>
  <c r="Q34" i="1" s="1"/>
  <c r="AF34" i="1"/>
  <c r="AG34" i="1"/>
  <c r="AH34" i="1"/>
  <c r="AI34" i="1"/>
  <c r="AJ34" i="1"/>
  <c r="CU34" i="1"/>
  <c r="CW34" i="1"/>
  <c r="CX34" i="1"/>
  <c r="W34" i="1" s="1"/>
  <c r="FR34" i="1"/>
  <c r="GL34" i="1"/>
  <c r="GO34" i="1"/>
  <c r="GP34" i="1"/>
  <c r="GV34" i="1"/>
  <c r="HC34" i="1" s="1"/>
  <c r="GX34" i="1" s="1"/>
  <c r="AC35" i="1"/>
  <c r="AE35" i="1"/>
  <c r="CS35" i="1" s="1"/>
  <c r="AF35" i="1"/>
  <c r="CT35" i="1" s="1"/>
  <c r="AG35" i="1"/>
  <c r="CU35" i="1" s="1"/>
  <c r="AH35" i="1"/>
  <c r="AI35" i="1"/>
  <c r="AJ35" i="1"/>
  <c r="CV35" i="1"/>
  <c r="CW35" i="1"/>
  <c r="CX35" i="1"/>
  <c r="FR35" i="1"/>
  <c r="GL35" i="1"/>
  <c r="GN35" i="1"/>
  <c r="GO35" i="1"/>
  <c r="GV35" i="1"/>
  <c r="HC35" i="1"/>
  <c r="C36" i="1"/>
  <c r="D36" i="1"/>
  <c r="K36" i="1"/>
  <c r="T36" i="1"/>
  <c r="W36" i="1"/>
  <c r="AC36" i="1"/>
  <c r="AE36" i="1"/>
  <c r="AF36" i="1"/>
  <c r="AG36" i="1"/>
  <c r="AH36" i="1"/>
  <c r="AI36" i="1"/>
  <c r="CW36" i="1" s="1"/>
  <c r="V36" i="1" s="1"/>
  <c r="AJ36" i="1"/>
  <c r="CU36" i="1"/>
  <c r="CX36" i="1"/>
  <c r="FR36" i="1"/>
  <c r="GL36" i="1"/>
  <c r="GO36" i="1"/>
  <c r="GP36" i="1"/>
  <c r="GV36" i="1"/>
  <c r="HC36" i="1" s="1"/>
  <c r="GX36" i="1"/>
  <c r="I37" i="1"/>
  <c r="X37" i="1"/>
  <c r="AC37" i="1"/>
  <c r="AD37" i="1"/>
  <c r="AE37" i="1"/>
  <c r="CR37" i="1" s="1"/>
  <c r="AF37" i="1"/>
  <c r="AG37" i="1"/>
  <c r="AH37" i="1"/>
  <c r="AI37" i="1"/>
  <c r="CW37" i="1" s="1"/>
  <c r="AJ37" i="1"/>
  <c r="CX37" i="1" s="1"/>
  <c r="CS37" i="1"/>
  <c r="CT37" i="1"/>
  <c r="CU37" i="1"/>
  <c r="CV37" i="1"/>
  <c r="CY37" i="1"/>
  <c r="CZ37" i="1"/>
  <c r="Y37" i="1" s="1"/>
  <c r="FR37" i="1"/>
  <c r="GL37" i="1"/>
  <c r="GO37" i="1"/>
  <c r="GP37" i="1"/>
  <c r="GV37" i="1"/>
  <c r="HC37" i="1"/>
  <c r="I38" i="1"/>
  <c r="E22" i="9" s="1"/>
  <c r="Y38" i="1"/>
  <c r="AC38" i="1"/>
  <c r="AD38" i="1"/>
  <c r="AE38" i="1"/>
  <c r="CS38" i="1" s="1"/>
  <c r="AF38" i="1"/>
  <c r="AG38" i="1"/>
  <c r="CU38" i="1" s="1"/>
  <c r="AH38" i="1"/>
  <c r="AI38" i="1"/>
  <c r="AJ38" i="1"/>
  <c r="CR38" i="1"/>
  <c r="CT38" i="1"/>
  <c r="CV38" i="1"/>
  <c r="CW38" i="1"/>
  <c r="CX38" i="1"/>
  <c r="CY38" i="1"/>
  <c r="X38" i="1" s="1"/>
  <c r="CZ38" i="1"/>
  <c r="FR38" i="1"/>
  <c r="GL38" i="1"/>
  <c r="GO38" i="1"/>
  <c r="GP38" i="1"/>
  <c r="GV38" i="1"/>
  <c r="HC38" i="1" s="1"/>
  <c r="I39" i="1"/>
  <c r="T39" i="1" s="1"/>
  <c r="AC39" i="1"/>
  <c r="AE39" i="1"/>
  <c r="AF39" i="1"/>
  <c r="CT39" i="1" s="1"/>
  <c r="AG39" i="1"/>
  <c r="AH39" i="1"/>
  <c r="CV39" i="1" s="1"/>
  <c r="AI39" i="1"/>
  <c r="AJ39" i="1"/>
  <c r="CS39" i="1"/>
  <c r="CU39" i="1"/>
  <c r="CW39" i="1"/>
  <c r="CX39" i="1"/>
  <c r="CY39" i="1"/>
  <c r="X39" i="1" s="1"/>
  <c r="CZ39" i="1"/>
  <c r="Y39" i="1" s="1"/>
  <c r="FR39" i="1"/>
  <c r="GL39" i="1"/>
  <c r="GO39" i="1"/>
  <c r="GP39" i="1"/>
  <c r="GV39" i="1"/>
  <c r="HC39" i="1"/>
  <c r="I40" i="1"/>
  <c r="X40" i="1"/>
  <c r="AC40" i="1"/>
  <c r="AE40" i="1"/>
  <c r="CS40" i="1" s="1"/>
  <c r="AF40" i="1"/>
  <c r="CT40" i="1" s="1"/>
  <c r="AG40" i="1"/>
  <c r="AH40" i="1"/>
  <c r="AI40" i="1"/>
  <c r="AJ40" i="1"/>
  <c r="CR40" i="1"/>
  <c r="CU40" i="1"/>
  <c r="CV40" i="1"/>
  <c r="CW40" i="1"/>
  <c r="CX40" i="1"/>
  <c r="CY40" i="1"/>
  <c r="CZ40" i="1"/>
  <c r="Y40" i="1" s="1"/>
  <c r="FR40" i="1"/>
  <c r="GL40" i="1"/>
  <c r="GO40" i="1"/>
  <c r="GP40" i="1"/>
  <c r="GV40" i="1"/>
  <c r="HC40" i="1"/>
  <c r="I41" i="1"/>
  <c r="Y41" i="1"/>
  <c r="AC41" i="1"/>
  <c r="AD41" i="1"/>
  <c r="AE41" i="1"/>
  <c r="AF41" i="1"/>
  <c r="CT41" i="1" s="1"/>
  <c r="AG41" i="1"/>
  <c r="CU41" i="1" s="1"/>
  <c r="AH41" i="1"/>
  <c r="CV41" i="1" s="1"/>
  <c r="AI41" i="1"/>
  <c r="AJ41" i="1"/>
  <c r="CR41" i="1"/>
  <c r="CS41" i="1"/>
  <c r="CW41" i="1"/>
  <c r="CX41" i="1"/>
  <c r="CY41" i="1"/>
  <c r="X41" i="1" s="1"/>
  <c r="CZ41" i="1"/>
  <c r="FR41" i="1"/>
  <c r="GL41" i="1"/>
  <c r="GO41" i="1"/>
  <c r="GP41" i="1"/>
  <c r="GV41" i="1"/>
  <c r="HC41" i="1" s="1"/>
  <c r="I42" i="1"/>
  <c r="AC42" i="1"/>
  <c r="AE42" i="1"/>
  <c r="AF42" i="1"/>
  <c r="AG42" i="1"/>
  <c r="CU42" i="1" s="1"/>
  <c r="AH42" i="1"/>
  <c r="AI42" i="1"/>
  <c r="CW42" i="1" s="1"/>
  <c r="AJ42" i="1"/>
  <c r="CT42" i="1"/>
  <c r="CV42" i="1"/>
  <c r="CX42" i="1"/>
  <c r="CY42" i="1"/>
  <c r="X42" i="1" s="1"/>
  <c r="CZ42" i="1"/>
  <c r="Y42" i="1" s="1"/>
  <c r="FR42" i="1"/>
  <c r="GL42" i="1"/>
  <c r="GO42" i="1"/>
  <c r="GP42" i="1"/>
  <c r="GV42" i="1"/>
  <c r="GX42" i="1"/>
  <c r="HC42" i="1"/>
  <c r="I43" i="1"/>
  <c r="X43" i="1"/>
  <c r="Y43" i="1"/>
  <c r="AC43" i="1"/>
  <c r="AE43" i="1"/>
  <c r="CS43" i="1" s="1"/>
  <c r="AF43" i="1"/>
  <c r="AG43" i="1"/>
  <c r="CU43" i="1" s="1"/>
  <c r="AH43" i="1"/>
  <c r="AI43" i="1"/>
  <c r="CW43" i="1" s="1"/>
  <c r="AJ43" i="1"/>
  <c r="CR43" i="1"/>
  <c r="CT43" i="1"/>
  <c r="CV43" i="1"/>
  <c r="CX43" i="1"/>
  <c r="CY43" i="1"/>
  <c r="CZ43" i="1"/>
  <c r="FR43" i="1"/>
  <c r="GL43" i="1"/>
  <c r="GO43" i="1"/>
  <c r="GP43" i="1"/>
  <c r="GV43" i="1"/>
  <c r="HC43" i="1" s="1"/>
  <c r="I44" i="1"/>
  <c r="Y44" i="1"/>
  <c r="AC44" i="1"/>
  <c r="AE44" i="1"/>
  <c r="CR44" i="1" s="1"/>
  <c r="AF44" i="1"/>
  <c r="CT44" i="1" s="1"/>
  <c r="AG44" i="1"/>
  <c r="AH44" i="1"/>
  <c r="CV44" i="1" s="1"/>
  <c r="AI44" i="1"/>
  <c r="AJ44" i="1"/>
  <c r="CX44" i="1" s="1"/>
  <c r="CS44" i="1"/>
  <c r="CU44" i="1"/>
  <c r="CW44" i="1"/>
  <c r="CY44" i="1"/>
  <c r="X44" i="1" s="1"/>
  <c r="CZ44" i="1"/>
  <c r="FR44" i="1"/>
  <c r="GL44" i="1"/>
  <c r="GO44" i="1"/>
  <c r="GP44" i="1"/>
  <c r="GV44" i="1"/>
  <c r="HC44" i="1"/>
  <c r="I45" i="1"/>
  <c r="X45" i="1"/>
  <c r="AC45" i="1"/>
  <c r="AE45" i="1"/>
  <c r="CS45" i="1" s="1"/>
  <c r="AF45" i="1"/>
  <c r="AG45" i="1"/>
  <c r="CU45" i="1" s="1"/>
  <c r="AH45" i="1"/>
  <c r="AI45" i="1"/>
  <c r="CW45" i="1" s="1"/>
  <c r="AJ45" i="1"/>
  <c r="CR45" i="1"/>
  <c r="CT45" i="1"/>
  <c r="CV45" i="1"/>
  <c r="CX45" i="1"/>
  <c r="CY45" i="1"/>
  <c r="CZ45" i="1"/>
  <c r="Y45" i="1" s="1"/>
  <c r="FR45" i="1"/>
  <c r="GL45" i="1"/>
  <c r="GO45" i="1"/>
  <c r="GP45" i="1"/>
  <c r="GV45" i="1"/>
  <c r="HC45" i="1"/>
  <c r="I46" i="1"/>
  <c r="Y46" i="1"/>
  <c r="AC46" i="1"/>
  <c r="AD46" i="1"/>
  <c r="AE46" i="1"/>
  <c r="AF46" i="1"/>
  <c r="CT46" i="1" s="1"/>
  <c r="AG46" i="1"/>
  <c r="AH46" i="1"/>
  <c r="CV46" i="1" s="1"/>
  <c r="AI46" i="1"/>
  <c r="AJ46" i="1"/>
  <c r="CX46" i="1" s="1"/>
  <c r="CR46" i="1"/>
  <c r="CS46" i="1"/>
  <c r="CU46" i="1"/>
  <c r="CW46" i="1"/>
  <c r="CY46" i="1"/>
  <c r="X46" i="1" s="1"/>
  <c r="CZ46" i="1"/>
  <c r="FR46" i="1"/>
  <c r="GL46" i="1"/>
  <c r="GO46" i="1"/>
  <c r="GP46" i="1"/>
  <c r="GV46" i="1"/>
  <c r="HC46" i="1" s="1"/>
  <c r="C47" i="1"/>
  <c r="D47" i="1"/>
  <c r="K47" i="1"/>
  <c r="AC47" i="1"/>
  <c r="AE47" i="1"/>
  <c r="AF47" i="1"/>
  <c r="CT47" i="1" s="1"/>
  <c r="S47" i="1" s="1"/>
  <c r="AG47" i="1"/>
  <c r="CU47" i="1" s="1"/>
  <c r="AH47" i="1"/>
  <c r="AI47" i="1"/>
  <c r="CW47" i="1" s="1"/>
  <c r="V47" i="1" s="1"/>
  <c r="AJ47" i="1"/>
  <c r="CX47" i="1"/>
  <c r="W47" i="1" s="1"/>
  <c r="FR47" i="1"/>
  <c r="GL47" i="1"/>
  <c r="GO47" i="1"/>
  <c r="GP47" i="1"/>
  <c r="GV47" i="1"/>
  <c r="HC47" i="1" s="1"/>
  <c r="GX47" i="1" s="1"/>
  <c r="I48" i="1"/>
  <c r="AC48" i="1"/>
  <c r="AE48" i="1"/>
  <c r="CR48" i="1" s="1"/>
  <c r="AF48" i="1"/>
  <c r="CT48" i="1" s="1"/>
  <c r="AG48" i="1"/>
  <c r="AH48" i="1"/>
  <c r="CV48" i="1" s="1"/>
  <c r="AI48" i="1"/>
  <c r="AJ48" i="1"/>
  <c r="CX48" i="1" s="1"/>
  <c r="CS48" i="1"/>
  <c r="CU48" i="1"/>
  <c r="CW48" i="1"/>
  <c r="CY48" i="1"/>
  <c r="X48" i="1" s="1"/>
  <c r="CZ48" i="1"/>
  <c r="Y48" i="1" s="1"/>
  <c r="FR48" i="1"/>
  <c r="GL48" i="1"/>
  <c r="GO48" i="1"/>
  <c r="GP48" i="1"/>
  <c r="GV48" i="1"/>
  <c r="HC48" i="1"/>
  <c r="X49" i="1"/>
  <c r="AC49" i="1"/>
  <c r="AE49" i="1"/>
  <c r="CS49" i="1" s="1"/>
  <c r="AF49" i="1"/>
  <c r="AG49" i="1"/>
  <c r="CU49" i="1" s="1"/>
  <c r="AH49" i="1"/>
  <c r="AI49" i="1"/>
  <c r="CW49" i="1" s="1"/>
  <c r="AJ49" i="1"/>
  <c r="CR49" i="1"/>
  <c r="CT49" i="1"/>
  <c r="CV49" i="1"/>
  <c r="CX49" i="1"/>
  <c r="CY49" i="1"/>
  <c r="CZ49" i="1"/>
  <c r="Y49" i="1" s="1"/>
  <c r="FR49" i="1"/>
  <c r="GL49" i="1"/>
  <c r="GO49" i="1"/>
  <c r="GP49" i="1"/>
  <c r="GV49" i="1"/>
  <c r="HC49" i="1"/>
  <c r="Y50" i="1"/>
  <c r="AC50" i="1"/>
  <c r="CQ50" i="1" s="1"/>
  <c r="AD50" i="1"/>
  <c r="AE50" i="1"/>
  <c r="AF50" i="1"/>
  <c r="CT50" i="1" s="1"/>
  <c r="AG50" i="1"/>
  <c r="AH50" i="1"/>
  <c r="CV50" i="1" s="1"/>
  <c r="AI50" i="1"/>
  <c r="AJ50" i="1"/>
  <c r="CX50" i="1" s="1"/>
  <c r="CR50" i="1"/>
  <c r="CS50" i="1"/>
  <c r="CU50" i="1"/>
  <c r="CW50" i="1"/>
  <c r="CY50" i="1"/>
  <c r="X50" i="1" s="1"/>
  <c r="CZ50" i="1"/>
  <c r="FR50" i="1"/>
  <c r="GL50" i="1"/>
  <c r="GO50" i="1"/>
  <c r="GP50" i="1"/>
  <c r="GV50" i="1"/>
  <c r="HC50" i="1" s="1"/>
  <c r="AC51" i="1"/>
  <c r="AE51" i="1"/>
  <c r="AF51" i="1"/>
  <c r="AG51" i="1"/>
  <c r="AH51" i="1"/>
  <c r="AI51" i="1"/>
  <c r="CW51" i="1" s="1"/>
  <c r="AJ51" i="1"/>
  <c r="CT51" i="1"/>
  <c r="CU51" i="1"/>
  <c r="CV51" i="1"/>
  <c r="CX51" i="1"/>
  <c r="CY51" i="1"/>
  <c r="X51" i="1" s="1"/>
  <c r="CZ51" i="1"/>
  <c r="Y51" i="1" s="1"/>
  <c r="FR51" i="1"/>
  <c r="GL51" i="1"/>
  <c r="GO51" i="1"/>
  <c r="GP51" i="1"/>
  <c r="GV51" i="1"/>
  <c r="HC51" i="1" s="1"/>
  <c r="X52" i="1"/>
  <c r="AC52" i="1"/>
  <c r="AD52" i="1"/>
  <c r="AE52" i="1"/>
  <c r="AF52" i="1"/>
  <c r="CT52" i="1" s="1"/>
  <c r="AG52" i="1"/>
  <c r="AH52" i="1"/>
  <c r="AI52" i="1"/>
  <c r="AJ52" i="1"/>
  <c r="CX52" i="1" s="1"/>
  <c r="CR52" i="1"/>
  <c r="CS52" i="1"/>
  <c r="CU52" i="1"/>
  <c r="CV52" i="1"/>
  <c r="CW52" i="1"/>
  <c r="CY52" i="1"/>
  <c r="CZ52" i="1"/>
  <c r="Y52" i="1" s="1"/>
  <c r="FR52" i="1"/>
  <c r="GL52" i="1"/>
  <c r="GO52" i="1"/>
  <c r="GP52" i="1"/>
  <c r="GV52" i="1"/>
  <c r="HC52" i="1"/>
  <c r="Y53" i="1"/>
  <c r="AC53" i="1"/>
  <c r="CQ53" i="1" s="1"/>
  <c r="AE53" i="1"/>
  <c r="CR53" i="1" s="1"/>
  <c r="AF53" i="1"/>
  <c r="AG53" i="1"/>
  <c r="CU53" i="1" s="1"/>
  <c r="AH53" i="1"/>
  <c r="AI53" i="1"/>
  <c r="AJ53" i="1"/>
  <c r="CT53" i="1"/>
  <c r="CV53" i="1"/>
  <c r="CW53" i="1"/>
  <c r="CX53" i="1"/>
  <c r="CY53" i="1"/>
  <c r="X53" i="1" s="1"/>
  <c r="CZ53" i="1"/>
  <c r="FR53" i="1"/>
  <c r="GL53" i="1"/>
  <c r="GO53" i="1"/>
  <c r="GP53" i="1"/>
  <c r="GV53" i="1"/>
  <c r="HC53" i="1" s="1"/>
  <c r="I54" i="1"/>
  <c r="X54" i="1"/>
  <c r="AC54" i="1"/>
  <c r="AE54" i="1"/>
  <c r="CR54" i="1" s="1"/>
  <c r="AF54" i="1"/>
  <c r="CT54" i="1" s="1"/>
  <c r="AG54" i="1"/>
  <c r="CU54" i="1" s="1"/>
  <c r="AH54" i="1"/>
  <c r="CV54" i="1" s="1"/>
  <c r="AI54" i="1"/>
  <c r="AJ54" i="1"/>
  <c r="CS54" i="1"/>
  <c r="CW54" i="1"/>
  <c r="CX54" i="1"/>
  <c r="CY54" i="1"/>
  <c r="CZ54" i="1"/>
  <c r="Y54" i="1" s="1"/>
  <c r="FR54" i="1"/>
  <c r="GL54" i="1"/>
  <c r="GO54" i="1"/>
  <c r="GP54" i="1"/>
  <c r="GV54" i="1"/>
  <c r="HC54" i="1"/>
  <c r="I55" i="1"/>
  <c r="AC55" i="1"/>
  <c r="AE55" i="1"/>
  <c r="CR55" i="1" s="1"/>
  <c r="AF55" i="1"/>
  <c r="CT55" i="1" s="1"/>
  <c r="AG55" i="1"/>
  <c r="AH55" i="1"/>
  <c r="CV55" i="1" s="1"/>
  <c r="AI55" i="1"/>
  <c r="AJ55" i="1"/>
  <c r="CS55" i="1"/>
  <c r="CU55" i="1"/>
  <c r="CW55" i="1"/>
  <c r="CX55" i="1"/>
  <c r="CY55" i="1"/>
  <c r="X55" i="1" s="1"/>
  <c r="CZ55" i="1"/>
  <c r="Y55" i="1" s="1"/>
  <c r="FR55" i="1"/>
  <c r="GL55" i="1"/>
  <c r="GO55" i="1"/>
  <c r="GP55" i="1"/>
  <c r="GV55" i="1"/>
  <c r="HC55" i="1"/>
  <c r="X56" i="1"/>
  <c r="AC56" i="1"/>
  <c r="AE56" i="1"/>
  <c r="AD56" i="1" s="1"/>
  <c r="AF56" i="1"/>
  <c r="AG56" i="1"/>
  <c r="CU56" i="1" s="1"/>
  <c r="AH56" i="1"/>
  <c r="AI56" i="1"/>
  <c r="CW56" i="1" s="1"/>
  <c r="AJ56" i="1"/>
  <c r="CR56" i="1"/>
  <c r="CS56" i="1"/>
  <c r="CT56" i="1"/>
  <c r="CV56" i="1"/>
  <c r="CX56" i="1"/>
  <c r="CY56" i="1"/>
  <c r="CZ56" i="1"/>
  <c r="Y56" i="1" s="1"/>
  <c r="FR56" i="1"/>
  <c r="GL56" i="1"/>
  <c r="GO56" i="1"/>
  <c r="GP56" i="1"/>
  <c r="GV56" i="1"/>
  <c r="HC56" i="1"/>
  <c r="C57" i="1"/>
  <c r="D57" i="1"/>
  <c r="K57" i="1"/>
  <c r="AC57" i="1"/>
  <c r="AE57" i="1"/>
  <c r="AF57" i="1"/>
  <c r="CT57" i="1" s="1"/>
  <c r="S57" i="1" s="1"/>
  <c r="AG57" i="1"/>
  <c r="CU57" i="1" s="1"/>
  <c r="T57" i="1" s="1"/>
  <c r="AH57" i="1"/>
  <c r="AI57" i="1"/>
  <c r="AJ57" i="1"/>
  <c r="CW57" i="1"/>
  <c r="V57" i="1" s="1"/>
  <c r="CX57" i="1"/>
  <c r="W57" i="1" s="1"/>
  <c r="FR57" i="1"/>
  <c r="GL57" i="1"/>
  <c r="GO57" i="1"/>
  <c r="GP57" i="1"/>
  <c r="GV57" i="1"/>
  <c r="HC57" i="1" s="1"/>
  <c r="GX57" i="1" s="1"/>
  <c r="I58" i="1"/>
  <c r="AC58" i="1"/>
  <c r="AE58" i="1"/>
  <c r="CR58" i="1" s="1"/>
  <c r="AF58" i="1"/>
  <c r="CT58" i="1" s="1"/>
  <c r="AG58" i="1"/>
  <c r="AH58" i="1"/>
  <c r="CV58" i="1" s="1"/>
  <c r="AI58" i="1"/>
  <c r="AJ58" i="1"/>
  <c r="CS58" i="1"/>
  <c r="CU58" i="1"/>
  <c r="CW58" i="1"/>
  <c r="CX58" i="1"/>
  <c r="CY58" i="1"/>
  <c r="X58" i="1" s="1"/>
  <c r="CZ58" i="1"/>
  <c r="Y58" i="1" s="1"/>
  <c r="FR58" i="1"/>
  <c r="GL58" i="1"/>
  <c r="GO58" i="1"/>
  <c r="GP58" i="1"/>
  <c r="GV58" i="1"/>
  <c r="HC58" i="1"/>
  <c r="Y59" i="1"/>
  <c r="AC59" i="1"/>
  <c r="AE59" i="1"/>
  <c r="AD59" i="1" s="1"/>
  <c r="AF59" i="1"/>
  <c r="AG59" i="1"/>
  <c r="CU59" i="1" s="1"/>
  <c r="AH59" i="1"/>
  <c r="AI59" i="1"/>
  <c r="CW59" i="1" s="1"/>
  <c r="AJ59" i="1"/>
  <c r="CR59" i="1"/>
  <c r="CS59" i="1"/>
  <c r="CT59" i="1"/>
  <c r="CV59" i="1"/>
  <c r="CX59" i="1"/>
  <c r="CY59" i="1"/>
  <c r="X59" i="1" s="1"/>
  <c r="CZ59" i="1"/>
  <c r="FR59" i="1"/>
  <c r="GL59" i="1"/>
  <c r="GO59" i="1"/>
  <c r="GP59" i="1"/>
  <c r="GV59" i="1"/>
  <c r="HC59" i="1" s="1"/>
  <c r="I60" i="1"/>
  <c r="AC60" i="1"/>
  <c r="CQ60" i="1" s="1"/>
  <c r="AE60" i="1"/>
  <c r="AD60" i="1" s="1"/>
  <c r="AF60" i="1"/>
  <c r="CT60" i="1" s="1"/>
  <c r="AG60" i="1"/>
  <c r="CU60" i="1" s="1"/>
  <c r="AH60" i="1"/>
  <c r="AI60" i="1"/>
  <c r="AJ60" i="1"/>
  <c r="CV60" i="1"/>
  <c r="CW60" i="1"/>
  <c r="CX60" i="1"/>
  <c r="CY60" i="1"/>
  <c r="X60" i="1" s="1"/>
  <c r="CZ60" i="1"/>
  <c r="Y60" i="1" s="1"/>
  <c r="FR60" i="1"/>
  <c r="GL60" i="1"/>
  <c r="GO60" i="1"/>
  <c r="GP60" i="1"/>
  <c r="GV60" i="1"/>
  <c r="HC60" i="1"/>
  <c r="I61" i="1"/>
  <c r="X61" i="1"/>
  <c r="AC61" i="1"/>
  <c r="AD61" i="1"/>
  <c r="AE61" i="1"/>
  <c r="AF61" i="1"/>
  <c r="CT61" i="1" s="1"/>
  <c r="AG61" i="1"/>
  <c r="CU61" i="1" s="1"/>
  <c r="AH61" i="1"/>
  <c r="CV61" i="1" s="1"/>
  <c r="AI61" i="1"/>
  <c r="AJ61" i="1"/>
  <c r="CR61" i="1"/>
  <c r="CS61" i="1"/>
  <c r="CW61" i="1"/>
  <c r="V61" i="1" s="1"/>
  <c r="CX61" i="1"/>
  <c r="CY61" i="1"/>
  <c r="CZ61" i="1"/>
  <c r="Y61" i="1" s="1"/>
  <c r="FR61" i="1"/>
  <c r="GL61" i="1"/>
  <c r="GO61" i="1"/>
  <c r="GP61" i="1"/>
  <c r="GV61" i="1"/>
  <c r="HC61" i="1"/>
  <c r="I62" i="1"/>
  <c r="E46" i="9" s="1"/>
  <c r="X62" i="1"/>
  <c r="AC62" i="1"/>
  <c r="CQ62" i="1" s="1"/>
  <c r="AD62" i="1"/>
  <c r="AE62" i="1"/>
  <c r="AF62" i="1"/>
  <c r="CT62" i="1" s="1"/>
  <c r="AG62" i="1"/>
  <c r="CU62" i="1" s="1"/>
  <c r="AH62" i="1"/>
  <c r="CV62" i="1" s="1"/>
  <c r="AI62" i="1"/>
  <c r="AJ62" i="1"/>
  <c r="CR62" i="1"/>
  <c r="CS62" i="1"/>
  <c r="CW62" i="1"/>
  <c r="CX62" i="1"/>
  <c r="CY62" i="1"/>
  <c r="CZ62" i="1"/>
  <c r="Y62" i="1" s="1"/>
  <c r="FR62" i="1"/>
  <c r="GL62" i="1"/>
  <c r="GO62" i="1"/>
  <c r="GP62" i="1"/>
  <c r="GV62" i="1"/>
  <c r="HC62" i="1"/>
  <c r="I63" i="1"/>
  <c r="Y63" i="1"/>
  <c r="AC63" i="1"/>
  <c r="AD63" i="1"/>
  <c r="AE63" i="1"/>
  <c r="AF63" i="1"/>
  <c r="AG63" i="1"/>
  <c r="CU63" i="1" s="1"/>
  <c r="AH63" i="1"/>
  <c r="CV63" i="1" s="1"/>
  <c r="AI63" i="1"/>
  <c r="CW63" i="1" s="1"/>
  <c r="AJ63" i="1"/>
  <c r="CR63" i="1"/>
  <c r="CS63" i="1"/>
  <c r="CT63" i="1"/>
  <c r="CX63" i="1"/>
  <c r="CY63" i="1"/>
  <c r="X63" i="1" s="1"/>
  <c r="CZ63" i="1"/>
  <c r="FR63" i="1"/>
  <c r="GL63" i="1"/>
  <c r="GO63" i="1"/>
  <c r="GP63" i="1"/>
  <c r="GV63" i="1"/>
  <c r="HC63" i="1" s="1"/>
  <c r="C64" i="1"/>
  <c r="D64" i="1"/>
  <c r="AC64" i="1"/>
  <c r="AE64" i="1"/>
  <c r="CR64" i="1" s="1"/>
  <c r="Q64" i="1" s="1"/>
  <c r="AF64" i="1"/>
  <c r="AG64" i="1"/>
  <c r="CU64" i="1" s="1"/>
  <c r="T64" i="1" s="1"/>
  <c r="AH64" i="1"/>
  <c r="AI64" i="1"/>
  <c r="CW64" i="1" s="1"/>
  <c r="V64" i="1" s="1"/>
  <c r="AJ64" i="1"/>
  <c r="CX64" i="1"/>
  <c r="W64" i="1" s="1"/>
  <c r="FR64" i="1"/>
  <c r="GL64" i="1"/>
  <c r="GN64" i="1"/>
  <c r="GP64" i="1"/>
  <c r="GV64" i="1"/>
  <c r="HC64" i="1" s="1"/>
  <c r="GX64" i="1" s="1"/>
  <c r="I65" i="1"/>
  <c r="AC65" i="1"/>
  <c r="AE65" i="1"/>
  <c r="CR65" i="1" s="1"/>
  <c r="AF65" i="1"/>
  <c r="AG65" i="1"/>
  <c r="AH65" i="1"/>
  <c r="CV65" i="1" s="1"/>
  <c r="AI65" i="1"/>
  <c r="CW65" i="1" s="1"/>
  <c r="AJ65" i="1"/>
  <c r="CX65" i="1" s="1"/>
  <c r="CS65" i="1"/>
  <c r="CT65" i="1"/>
  <c r="CU65" i="1"/>
  <c r="FR65" i="1"/>
  <c r="GL65" i="1"/>
  <c r="GN65" i="1"/>
  <c r="GO65" i="1"/>
  <c r="GV65" i="1"/>
  <c r="HC65" i="1" s="1"/>
  <c r="C66" i="1"/>
  <c r="D66" i="1"/>
  <c r="K66" i="1"/>
  <c r="W66" i="1"/>
  <c r="AC66" i="1"/>
  <c r="CQ66" i="1" s="1"/>
  <c r="P66" i="1" s="1"/>
  <c r="AE66" i="1"/>
  <c r="AD66" i="1" s="1"/>
  <c r="AF66" i="1"/>
  <c r="AG66" i="1"/>
  <c r="CU66" i="1" s="1"/>
  <c r="T66" i="1" s="1"/>
  <c r="AH66" i="1"/>
  <c r="AI66" i="1"/>
  <c r="AJ66" i="1"/>
  <c r="CW66" i="1"/>
  <c r="V66" i="1" s="1"/>
  <c r="CX66" i="1"/>
  <c r="FR66" i="1"/>
  <c r="GL66" i="1"/>
  <c r="GO66" i="1"/>
  <c r="GP66" i="1"/>
  <c r="GV66" i="1"/>
  <c r="GX66" i="1"/>
  <c r="HC66" i="1"/>
  <c r="C67" i="1"/>
  <c r="D67" i="1"/>
  <c r="W67" i="1"/>
  <c r="AC67" i="1"/>
  <c r="AE67" i="1"/>
  <c r="AD67" i="1" s="1"/>
  <c r="AB67" i="1" s="1"/>
  <c r="AF67" i="1"/>
  <c r="CT67" i="1" s="1"/>
  <c r="S67" i="1" s="1"/>
  <c r="AG67" i="1"/>
  <c r="CU67" i="1" s="1"/>
  <c r="T67" i="1" s="1"/>
  <c r="AH67" i="1"/>
  <c r="AI67" i="1"/>
  <c r="AJ67" i="1"/>
  <c r="CQ67" i="1"/>
  <c r="P67" i="1" s="1"/>
  <c r="CV67" i="1"/>
  <c r="U67" i="1" s="1"/>
  <c r="CW67" i="1"/>
  <c r="V67" i="1" s="1"/>
  <c r="CX67" i="1"/>
  <c r="FR67" i="1"/>
  <c r="GL67" i="1"/>
  <c r="GO67" i="1"/>
  <c r="GP67" i="1"/>
  <c r="GV67" i="1"/>
  <c r="GX67" i="1"/>
  <c r="HC67" i="1"/>
  <c r="C68" i="1"/>
  <c r="D68" i="1"/>
  <c r="K68" i="1"/>
  <c r="AC68" i="1"/>
  <c r="AD68" i="1"/>
  <c r="AE68" i="1"/>
  <c r="CS68" i="1" s="1"/>
  <c r="R68" i="1" s="1"/>
  <c r="AF68" i="1"/>
  <c r="AG68" i="1"/>
  <c r="AH68" i="1"/>
  <c r="AI68" i="1"/>
  <c r="CW68" i="1" s="1"/>
  <c r="V68" i="1" s="1"/>
  <c r="AJ68" i="1"/>
  <c r="CX68" i="1" s="1"/>
  <c r="W68" i="1" s="1"/>
  <c r="CU68" i="1"/>
  <c r="T68" i="1" s="1"/>
  <c r="FR68" i="1"/>
  <c r="GL68" i="1"/>
  <c r="GO68" i="1"/>
  <c r="GP68" i="1"/>
  <c r="GV68" i="1"/>
  <c r="HC68" i="1"/>
  <c r="GX68" i="1" s="1"/>
  <c r="I69" i="1"/>
  <c r="Y69" i="1"/>
  <c r="AC69" i="1"/>
  <c r="AD69" i="1"/>
  <c r="AE69" i="1"/>
  <c r="CS69" i="1" s="1"/>
  <c r="AF69" i="1"/>
  <c r="CT69" i="1" s="1"/>
  <c r="AG69" i="1"/>
  <c r="AH69" i="1"/>
  <c r="AI69" i="1"/>
  <c r="AJ69" i="1"/>
  <c r="CX69" i="1" s="1"/>
  <c r="CR69" i="1"/>
  <c r="CU69" i="1"/>
  <c r="CV69" i="1"/>
  <c r="CW69" i="1"/>
  <c r="CY69" i="1"/>
  <c r="X69" i="1" s="1"/>
  <c r="CZ69" i="1"/>
  <c r="FR69" i="1"/>
  <c r="GL69" i="1"/>
  <c r="GO69" i="1"/>
  <c r="GP69" i="1"/>
  <c r="GV69" i="1"/>
  <c r="HC69" i="1" s="1"/>
  <c r="C70" i="1"/>
  <c r="D70" i="1"/>
  <c r="K70" i="1"/>
  <c r="T70" i="1"/>
  <c r="AC70" i="1"/>
  <c r="CQ70" i="1" s="1"/>
  <c r="P70" i="1" s="1"/>
  <c r="AE70" i="1"/>
  <c r="CS70" i="1" s="1"/>
  <c r="R70" i="1" s="1"/>
  <c r="AF70" i="1"/>
  <c r="AG70" i="1"/>
  <c r="AH70" i="1"/>
  <c r="CV70" i="1" s="1"/>
  <c r="U70" i="1" s="1"/>
  <c r="AI70" i="1"/>
  <c r="CW70" i="1" s="1"/>
  <c r="V70" i="1" s="1"/>
  <c r="AJ70" i="1"/>
  <c r="CX70" i="1" s="1"/>
  <c r="W70" i="1" s="1"/>
  <c r="CT70" i="1"/>
  <c r="S70" i="1" s="1"/>
  <c r="CU70" i="1"/>
  <c r="FR70" i="1"/>
  <c r="GL70" i="1"/>
  <c r="GO70" i="1"/>
  <c r="GP70" i="1"/>
  <c r="GV70" i="1"/>
  <c r="HC70" i="1" s="1"/>
  <c r="GX70" i="1" s="1"/>
  <c r="C71" i="1"/>
  <c r="D71" i="1"/>
  <c r="K71" i="1"/>
  <c r="AC71" i="1"/>
  <c r="CQ71" i="1" s="1"/>
  <c r="AE71" i="1"/>
  <c r="AF71" i="1"/>
  <c r="AG71" i="1"/>
  <c r="CU71" i="1" s="1"/>
  <c r="AH71" i="1"/>
  <c r="AI71" i="1"/>
  <c r="AJ71" i="1"/>
  <c r="CW71" i="1"/>
  <c r="CX71" i="1"/>
  <c r="FR71" i="1"/>
  <c r="GL71" i="1"/>
  <c r="GO71" i="1"/>
  <c r="GP71" i="1"/>
  <c r="GV71" i="1"/>
  <c r="HC71" i="1"/>
  <c r="B73" i="1"/>
  <c r="B22" i="1" s="1"/>
  <c r="C73" i="1"/>
  <c r="C22" i="1" s="1"/>
  <c r="D73" i="1"/>
  <c r="D22" i="1" s="1"/>
  <c r="F73" i="1"/>
  <c r="F22" i="1" s="1"/>
  <c r="G73" i="1"/>
  <c r="G22" i="1" s="1"/>
  <c r="BX73" i="1"/>
  <c r="CK73" i="1"/>
  <c r="CK22" i="1" s="1"/>
  <c r="CL73" i="1"/>
  <c r="CL22" i="1" s="1"/>
  <c r="B103" i="1"/>
  <c r="B18" i="1" s="1"/>
  <c r="C103" i="1"/>
  <c r="C18" i="1" s="1"/>
  <c r="D103" i="1"/>
  <c r="D18" i="1" s="1"/>
  <c r="F103" i="1"/>
  <c r="F18" i="1" s="1"/>
  <c r="G103" i="1"/>
  <c r="G18" i="1" s="1"/>
  <c r="F12" i="6"/>
  <c r="G12" i="6"/>
  <c r="CY12" i="6"/>
  <c r="DI50" i="12" l="1"/>
  <c r="U50" i="12"/>
  <c r="DG170" i="12"/>
  <c r="DI170" i="12"/>
  <c r="U170" i="12"/>
  <c r="DI148" i="12"/>
  <c r="U148" i="12"/>
  <c r="DG148" i="12"/>
  <c r="G222" i="12"/>
  <c r="F222" i="12"/>
  <c r="DI112" i="12"/>
  <c r="U112" i="12"/>
  <c r="U203" i="12"/>
  <c r="DI203" i="12"/>
  <c r="U189" i="12"/>
  <c r="DI189" i="12"/>
  <c r="G101" i="12"/>
  <c r="F101" i="12"/>
  <c r="Q58" i="14"/>
  <c r="E215" i="12"/>
  <c r="W69" i="1"/>
  <c r="P65" i="14"/>
  <c r="O65" i="14" s="1"/>
  <c r="E65" i="14" s="1"/>
  <c r="E195" i="12"/>
  <c r="DF106" i="3"/>
  <c r="P35" i="14"/>
  <c r="O35" i="14" s="1"/>
  <c r="E35" i="14" s="1"/>
  <c r="E47" i="9"/>
  <c r="Q63" i="14"/>
  <c r="E183" i="12"/>
  <c r="E45" i="9"/>
  <c r="E180" i="12"/>
  <c r="P55" i="14"/>
  <c r="O55" i="14" s="1"/>
  <c r="E55" i="14" s="1"/>
  <c r="P61" i="14"/>
  <c r="O61" i="14" s="1"/>
  <c r="E61" i="14" s="1"/>
  <c r="E179" i="12"/>
  <c r="E42" i="9"/>
  <c r="E177" i="12"/>
  <c r="Q59" i="14"/>
  <c r="E38" i="9"/>
  <c r="Q56" i="14"/>
  <c r="E161" i="12"/>
  <c r="P53" i="14"/>
  <c r="O53" i="14" s="1"/>
  <c r="E53" i="14" s="1"/>
  <c r="E155" i="12"/>
  <c r="E141" i="12"/>
  <c r="P56" i="14"/>
  <c r="O56" i="14" s="1"/>
  <c r="E56" i="14" s="1"/>
  <c r="E140" i="12"/>
  <c r="P57" i="14"/>
  <c r="P48" i="14"/>
  <c r="O48" i="14" s="1"/>
  <c r="E48" i="14" s="1"/>
  <c r="E139" i="12"/>
  <c r="P54" i="14"/>
  <c r="O54" i="14" s="1"/>
  <c r="E54" i="14" s="1"/>
  <c r="E138" i="12"/>
  <c r="P62" i="14"/>
  <c r="E137" i="12"/>
  <c r="E25" i="9"/>
  <c r="P49" i="14"/>
  <c r="O49" i="14" s="1"/>
  <c r="E49" i="14" s="1"/>
  <c r="E136" i="12"/>
  <c r="E24" i="9"/>
  <c r="P50" i="14"/>
  <c r="O50" i="14" s="1"/>
  <c r="E50" i="14" s="1"/>
  <c r="E135" i="12"/>
  <c r="E21" i="9"/>
  <c r="P59" i="14"/>
  <c r="E132" i="12"/>
  <c r="P58" i="14"/>
  <c r="O58" i="14" s="1"/>
  <c r="E58" i="14" s="1"/>
  <c r="E105" i="12"/>
  <c r="FI14" i="8"/>
  <c r="CV71" i="1"/>
  <c r="U71" i="1" s="1"/>
  <c r="CS71" i="1"/>
  <c r="CT71" i="1"/>
  <c r="S71" i="1" s="1"/>
  <c r="CR71" i="1"/>
  <c r="Q71" i="1" s="1"/>
  <c r="P71" i="1"/>
  <c r="R71" i="1"/>
  <c r="GX71" i="1"/>
  <c r="W71" i="1"/>
  <c r="DF103" i="3"/>
  <c r="CR70" i="1"/>
  <c r="Q70" i="1" s="1"/>
  <c r="V71" i="1"/>
  <c r="T71" i="1"/>
  <c r="Q69" i="1"/>
  <c r="GX69" i="1"/>
  <c r="S69" i="1"/>
  <c r="U69" i="1"/>
  <c r="CV68" i="1"/>
  <c r="U68" i="1" s="1"/>
  <c r="T69" i="1"/>
  <c r="V69" i="1"/>
  <c r="E52" i="9"/>
  <c r="CT68" i="1"/>
  <c r="S68" i="1" s="1"/>
  <c r="CQ69" i="1"/>
  <c r="P69" i="1" s="1"/>
  <c r="R69" i="1"/>
  <c r="AB69" i="1"/>
  <c r="AB68" i="1"/>
  <c r="CV66" i="1"/>
  <c r="U66" i="1" s="1"/>
  <c r="CT66" i="1"/>
  <c r="S66" i="1" s="1"/>
  <c r="AB66" i="1"/>
  <c r="DF100" i="3"/>
  <c r="DG107" i="3"/>
  <c r="W63" i="1"/>
  <c r="U63" i="1"/>
  <c r="DG99" i="3"/>
  <c r="U54" i="1"/>
  <c r="CV64" i="1"/>
  <c r="U64" i="1" s="1"/>
  <c r="S61" i="1"/>
  <c r="DG102" i="3"/>
  <c r="T65" i="1"/>
  <c r="E49" i="9"/>
  <c r="AD64" i="1"/>
  <c r="DG106" i="3"/>
  <c r="CT64" i="1"/>
  <c r="S64" i="1" s="1"/>
  <c r="CQ64" i="1"/>
  <c r="P64" i="1" s="1"/>
  <c r="DF99" i="3"/>
  <c r="CS64" i="1"/>
  <c r="R64" i="1" s="1"/>
  <c r="W65" i="1"/>
  <c r="HG65" i="1"/>
  <c r="DG108" i="3"/>
  <c r="U65" i="1"/>
  <c r="DF102" i="3"/>
  <c r="S65" i="1"/>
  <c r="DG112" i="3"/>
  <c r="GX65" i="1"/>
  <c r="DF107" i="3"/>
  <c r="R65" i="1"/>
  <c r="Q65" i="1"/>
  <c r="V65" i="1"/>
  <c r="DG103" i="3"/>
  <c r="DG100" i="3"/>
  <c r="U61" i="1"/>
  <c r="CV47" i="1"/>
  <c r="U47" i="1" s="1"/>
  <c r="Q61" i="1"/>
  <c r="W58" i="1"/>
  <c r="V62" i="1"/>
  <c r="U62" i="1"/>
  <c r="CQ61" i="1"/>
  <c r="P61" i="1" s="1"/>
  <c r="AB60" i="1"/>
  <c r="T58" i="1"/>
  <c r="CV57" i="1"/>
  <c r="U57" i="1" s="1"/>
  <c r="W60" i="1"/>
  <c r="E44" i="9"/>
  <c r="CQ57" i="1"/>
  <c r="P57" i="1" s="1"/>
  <c r="CQ63" i="1"/>
  <c r="P63" i="1" s="1"/>
  <c r="AB62" i="1"/>
  <c r="CQ59" i="1"/>
  <c r="CR57" i="1"/>
  <c r="Q57" i="1" s="1"/>
  <c r="T63" i="1"/>
  <c r="S63" i="1"/>
  <c r="T62" i="1"/>
  <c r="R62" i="1"/>
  <c r="T61" i="1"/>
  <c r="R61" i="1"/>
  <c r="CQ58" i="1"/>
  <c r="P58" i="1" s="1"/>
  <c r="AB63" i="1"/>
  <c r="V60" i="1"/>
  <c r="T60" i="1"/>
  <c r="Q62" i="1"/>
  <c r="U60" i="1"/>
  <c r="S60" i="1"/>
  <c r="R63" i="1"/>
  <c r="S62" i="1"/>
  <c r="Q63" i="1"/>
  <c r="GX62" i="1"/>
  <c r="P62" i="1"/>
  <c r="GX61" i="1"/>
  <c r="P60" i="1"/>
  <c r="R58" i="1"/>
  <c r="S58" i="1"/>
  <c r="GX60" i="1"/>
  <c r="GX58" i="1"/>
  <c r="Q58" i="1"/>
  <c r="GX63" i="1"/>
  <c r="V63" i="1"/>
  <c r="W62" i="1"/>
  <c r="W61" i="1"/>
  <c r="HG61" i="1"/>
  <c r="R54" i="1"/>
  <c r="GX54" i="1"/>
  <c r="S37" i="1"/>
  <c r="U55" i="1"/>
  <c r="V55" i="1"/>
  <c r="AB52" i="1"/>
  <c r="CQ48" i="1"/>
  <c r="P48" i="1" s="1"/>
  <c r="Q46" i="1"/>
  <c r="W55" i="1"/>
  <c r="E39" i="9"/>
  <c r="S55" i="1"/>
  <c r="CQ51" i="1"/>
  <c r="T48" i="1"/>
  <c r="E32" i="9"/>
  <c r="U39" i="1"/>
  <c r="CQ54" i="1"/>
  <c r="P54" i="1" s="1"/>
  <c r="R55" i="1"/>
  <c r="Q55" i="1"/>
  <c r="R37" i="1"/>
  <c r="GX55" i="1"/>
  <c r="CQ55" i="1"/>
  <c r="P55" i="1" s="1"/>
  <c r="CS47" i="1"/>
  <c r="R47" i="1" s="1"/>
  <c r="CY47" i="1" s="1"/>
  <c r="X47" i="1" s="1"/>
  <c r="V40" i="1"/>
  <c r="U40" i="1"/>
  <c r="T55" i="1"/>
  <c r="CQ47" i="1"/>
  <c r="P47" i="1" s="1"/>
  <c r="CQ52" i="1"/>
  <c r="AB50" i="1"/>
  <c r="CR47" i="1"/>
  <c r="Q47" i="1" s="1"/>
  <c r="V54" i="1"/>
  <c r="T54" i="1"/>
  <c r="Q54" i="1"/>
  <c r="R41" i="1"/>
  <c r="S41" i="1"/>
  <c r="S38" i="1"/>
  <c r="Q38" i="1"/>
  <c r="R38" i="1"/>
  <c r="T38" i="1"/>
  <c r="V38" i="1"/>
  <c r="T37" i="1"/>
  <c r="U37" i="1"/>
  <c r="V39" i="1"/>
  <c r="GX38" i="1"/>
  <c r="GX37" i="1"/>
  <c r="Q37" i="1"/>
  <c r="W38" i="1"/>
  <c r="V37" i="1"/>
  <c r="CV36" i="1"/>
  <c r="U36" i="1" s="1"/>
  <c r="T44" i="1"/>
  <c r="E28" i="9"/>
  <c r="CQ46" i="1"/>
  <c r="P46" i="1" s="1"/>
  <c r="T41" i="1"/>
  <c r="V41" i="1"/>
  <c r="CQ43" i="1"/>
  <c r="P43" i="1" s="1"/>
  <c r="S46" i="1"/>
  <c r="AB37" i="1"/>
  <c r="S43" i="1"/>
  <c r="E27" i="9"/>
  <c r="CQ39" i="1"/>
  <c r="P39" i="1" s="1"/>
  <c r="CQ36" i="1"/>
  <c r="P36" i="1" s="1"/>
  <c r="CQ41" i="1"/>
  <c r="P41" i="1" s="1"/>
  <c r="CQ38" i="1"/>
  <c r="P38" i="1" s="1"/>
  <c r="CT36" i="1"/>
  <c r="S36" i="1" s="1"/>
  <c r="U45" i="1"/>
  <c r="E29" i="9"/>
  <c r="CQ44" i="1"/>
  <c r="P44" i="1" s="1"/>
  <c r="CQ42" i="1"/>
  <c r="P42" i="1" s="1"/>
  <c r="Q41" i="1"/>
  <c r="U44" i="1"/>
  <c r="HG46" i="1"/>
  <c r="E30" i="9"/>
  <c r="V44" i="1"/>
  <c r="T45" i="1"/>
  <c r="W42" i="1"/>
  <c r="E26" i="9"/>
  <c r="W39" i="1"/>
  <c r="E23" i="9"/>
  <c r="AB46" i="1"/>
  <c r="AB41" i="1"/>
  <c r="CQ37" i="1"/>
  <c r="P37" i="1" s="1"/>
  <c r="W45" i="1"/>
  <c r="S45" i="1"/>
  <c r="R39" i="1"/>
  <c r="S39" i="1"/>
  <c r="Q45" i="1"/>
  <c r="R45" i="1"/>
  <c r="GX45" i="1"/>
  <c r="Q43" i="1"/>
  <c r="R43" i="1"/>
  <c r="GX46" i="1"/>
  <c r="W46" i="1"/>
  <c r="T40" i="1"/>
  <c r="S40" i="1"/>
  <c r="V45" i="1"/>
  <c r="GX43" i="1"/>
  <c r="V43" i="1"/>
  <c r="GX41" i="1"/>
  <c r="GX40" i="1"/>
  <c r="Q40" i="1"/>
  <c r="R40" i="1"/>
  <c r="GX39" i="1"/>
  <c r="T46" i="1"/>
  <c r="U46" i="1"/>
  <c r="R44" i="1"/>
  <c r="S44" i="1"/>
  <c r="W43" i="1"/>
  <c r="T42" i="1"/>
  <c r="W41" i="1"/>
  <c r="R46" i="1"/>
  <c r="V46" i="1"/>
  <c r="Q44" i="1"/>
  <c r="U43" i="1"/>
  <c r="T43" i="1"/>
  <c r="U41" i="1"/>
  <c r="W40" i="1"/>
  <c r="U38" i="1"/>
  <c r="W37" i="1"/>
  <c r="V33" i="1"/>
  <c r="T33" i="1"/>
  <c r="CQ35" i="1"/>
  <c r="CV34" i="1"/>
  <c r="U34" i="1" s="1"/>
  <c r="S33" i="1"/>
  <c r="CT34" i="1"/>
  <c r="S34" i="1" s="1"/>
  <c r="CS34" i="1"/>
  <c r="R34" i="1" s="1"/>
  <c r="AD34" i="1"/>
  <c r="CQ34" i="1"/>
  <c r="P34" i="1" s="1"/>
  <c r="W33" i="1"/>
  <c r="U33" i="1"/>
  <c r="R33" i="1"/>
  <c r="Q33" i="1"/>
  <c r="CV32" i="1"/>
  <c r="U32" i="1" s="1"/>
  <c r="CQ33" i="1"/>
  <c r="P33" i="1" s="1"/>
  <c r="CT32" i="1"/>
  <c r="S32" i="1" s="1"/>
  <c r="GX33" i="1"/>
  <c r="CV31" i="1"/>
  <c r="U31" i="1" s="1"/>
  <c r="CT31" i="1"/>
  <c r="S31" i="1" s="1"/>
  <c r="AB31" i="1"/>
  <c r="CV29" i="1"/>
  <c r="U29" i="1" s="1"/>
  <c r="S27" i="1"/>
  <c r="T27" i="1"/>
  <c r="AB30" i="1"/>
  <c r="CQ29" i="1"/>
  <c r="P29" i="1" s="1"/>
  <c r="CT29" i="1"/>
  <c r="S29" i="1" s="1"/>
  <c r="CP28" i="1"/>
  <c r="GM28" i="1" s="1"/>
  <c r="HD28" i="1" s="1"/>
  <c r="W27" i="1"/>
  <c r="U27" i="1"/>
  <c r="R27" i="1"/>
  <c r="Q27" i="1"/>
  <c r="I30" i="1"/>
  <c r="W30" i="1" s="1"/>
  <c r="GX27" i="1"/>
  <c r="V27" i="1"/>
  <c r="CQ26" i="1"/>
  <c r="P26" i="1" s="1"/>
  <c r="AD26" i="1"/>
  <c r="AB26" i="1" s="1"/>
  <c r="CV26" i="1"/>
  <c r="U26" i="1" s="1"/>
  <c r="CT26" i="1"/>
  <c r="S26" i="1" s="1"/>
  <c r="CS26" i="1"/>
  <c r="R26" i="1" s="1"/>
  <c r="W29" i="1"/>
  <c r="GX29" i="1"/>
  <c r="V29" i="1"/>
  <c r="R25" i="1"/>
  <c r="T25" i="1"/>
  <c r="S25" i="1"/>
  <c r="CV24" i="1"/>
  <c r="U24" i="1" s="1"/>
  <c r="CT24" i="1"/>
  <c r="S24" i="1" s="1"/>
  <c r="CQ25" i="1"/>
  <c r="P25" i="1" s="1"/>
  <c r="AD24" i="1"/>
  <c r="U25" i="1"/>
  <c r="CQ24" i="1"/>
  <c r="P24" i="1" s="1"/>
  <c r="AB25" i="1"/>
  <c r="BZ73" i="1"/>
  <c r="BZ22" i="1" s="1"/>
  <c r="BY73" i="1"/>
  <c r="BY22" i="1" s="1"/>
  <c r="CS24" i="1"/>
  <c r="R24" i="1" s="1"/>
  <c r="Q25" i="1"/>
  <c r="W25" i="1"/>
  <c r="GX25" i="1"/>
  <c r="V25" i="1"/>
  <c r="BX22" i="1"/>
  <c r="AO73" i="1"/>
  <c r="CY70" i="1"/>
  <c r="X70" i="1" s="1"/>
  <c r="CZ70" i="1"/>
  <c r="Y70" i="1" s="1"/>
  <c r="AD71" i="1"/>
  <c r="CR68" i="1"/>
  <c r="Q68" i="1" s="1"/>
  <c r="CU121" i="3"/>
  <c r="CX121" i="3"/>
  <c r="CV121" i="3"/>
  <c r="CQ65" i="1"/>
  <c r="P65" i="1" s="1"/>
  <c r="HG54" i="1"/>
  <c r="W54" i="1"/>
  <c r="GX48" i="1"/>
  <c r="W48" i="1"/>
  <c r="CX63" i="3"/>
  <c r="CU51" i="3"/>
  <c r="CW54" i="3"/>
  <c r="CV51" i="3"/>
  <c r="CX54" i="3"/>
  <c r="CX59" i="3"/>
  <c r="Q31" i="14" s="1"/>
  <c r="CX51" i="3"/>
  <c r="CW55" i="3"/>
  <c r="CX60" i="3"/>
  <c r="Q34" i="14" s="1"/>
  <c r="CX66" i="3"/>
  <c r="Q38" i="14" s="1"/>
  <c r="CX52" i="3"/>
  <c r="CX55" i="3"/>
  <c r="CX61" i="3"/>
  <c r="Q41" i="14" s="1"/>
  <c r="CX67" i="3"/>
  <c r="CX71" i="3"/>
  <c r="CX72" i="3"/>
  <c r="CX73" i="3"/>
  <c r="I49" i="1"/>
  <c r="I56" i="1"/>
  <c r="I53" i="1"/>
  <c r="I52" i="1"/>
  <c r="I51" i="1"/>
  <c r="I50" i="1"/>
  <c r="CR42" i="1"/>
  <c r="Q42" i="1" s="1"/>
  <c r="AD42" i="1"/>
  <c r="AB42" i="1" s="1"/>
  <c r="CS42" i="1"/>
  <c r="R42" i="1" s="1"/>
  <c r="CQ68" i="1"/>
  <c r="P68" i="1" s="1"/>
  <c r="CS67" i="1"/>
  <c r="R67" i="1" s="1"/>
  <c r="CY67" i="1" s="1"/>
  <c r="X67" i="1" s="1"/>
  <c r="CS66" i="1"/>
  <c r="R66" i="1" s="1"/>
  <c r="CS60" i="1"/>
  <c r="R60" i="1" s="1"/>
  <c r="AD70" i="1"/>
  <c r="CR67" i="1"/>
  <c r="Q67" i="1" s="1"/>
  <c r="CP67" i="1" s="1"/>
  <c r="O67" i="1" s="1"/>
  <c r="CR66" i="1"/>
  <c r="Q66" i="1" s="1"/>
  <c r="CU113" i="3"/>
  <c r="CV113" i="3"/>
  <c r="CX113" i="3"/>
  <c r="AD65" i="1"/>
  <c r="AB65" i="1" s="1"/>
  <c r="AB61" i="1"/>
  <c r="CR60" i="1"/>
  <c r="Q60" i="1" s="1"/>
  <c r="AB59" i="1"/>
  <c r="CQ49" i="1"/>
  <c r="V48" i="1"/>
  <c r="U48" i="1"/>
  <c r="GX44" i="1"/>
  <c r="W44" i="1"/>
  <c r="CW127" i="3"/>
  <c r="CX127" i="3"/>
  <c r="CW128" i="3"/>
  <c r="CX128" i="3"/>
  <c r="CU125" i="3"/>
  <c r="CV125" i="3"/>
  <c r="CQ45" i="1"/>
  <c r="P45" i="1" s="1"/>
  <c r="BC73" i="1"/>
  <c r="CS57" i="1"/>
  <c r="R57" i="1" s="1"/>
  <c r="AD57" i="1"/>
  <c r="AB57" i="1" s="1"/>
  <c r="AB56" i="1"/>
  <c r="CQ56" i="1"/>
  <c r="CS53" i="1"/>
  <c r="AD53" i="1"/>
  <c r="AB53" i="1" s="1"/>
  <c r="R48" i="1"/>
  <c r="S48" i="1"/>
  <c r="BB73" i="1"/>
  <c r="CW124" i="3"/>
  <c r="CX124" i="3"/>
  <c r="CX123" i="3"/>
  <c r="V58" i="1"/>
  <c r="U58" i="1"/>
  <c r="CX83" i="3"/>
  <c r="P26" i="14" s="1"/>
  <c r="O26" i="14" s="1"/>
  <c r="E26" i="14" s="1"/>
  <c r="CX89" i="3"/>
  <c r="CX95" i="3"/>
  <c r="CX75" i="3"/>
  <c r="CX78" i="3"/>
  <c r="CX84" i="3"/>
  <c r="P39" i="14" s="1"/>
  <c r="O39" i="14" s="1"/>
  <c r="E39" i="14" s="1"/>
  <c r="CX90" i="3"/>
  <c r="R40" i="14" s="1"/>
  <c r="CX96" i="3"/>
  <c r="CW76" i="3"/>
  <c r="CX79" i="3"/>
  <c r="P22" i="14" s="1"/>
  <c r="O22" i="14" s="1"/>
  <c r="E22" i="14" s="1"/>
  <c r="CX85" i="3"/>
  <c r="P28" i="14" s="1"/>
  <c r="O28" i="14" s="1"/>
  <c r="E28" i="14" s="1"/>
  <c r="CX91" i="3"/>
  <c r="R36" i="14" s="1"/>
  <c r="CX97" i="3"/>
  <c r="P27" i="14" s="1"/>
  <c r="O27" i="14" s="1"/>
  <c r="E27" i="14" s="1"/>
  <c r="CX76" i="3"/>
  <c r="CX80" i="3"/>
  <c r="R42" i="14" s="1"/>
  <c r="CX86" i="3"/>
  <c r="R34" i="14" s="1"/>
  <c r="CX92" i="3"/>
  <c r="P37" i="14" s="1"/>
  <c r="O37" i="14" s="1"/>
  <c r="E37" i="14" s="1"/>
  <c r="CU74" i="3"/>
  <c r="I59" i="1"/>
  <c r="S54" i="1"/>
  <c r="AD51" i="1"/>
  <c r="CR51" i="1"/>
  <c r="CS51" i="1"/>
  <c r="Q48" i="1"/>
  <c r="T47" i="1"/>
  <c r="V42" i="1"/>
  <c r="AB40" i="1"/>
  <c r="CR36" i="1"/>
  <c r="Q36" i="1" s="1"/>
  <c r="AD36" i="1"/>
  <c r="CR29" i="1"/>
  <c r="Q29" i="1" s="1"/>
  <c r="CS29" i="1"/>
  <c r="R29" i="1" s="1"/>
  <c r="AD29" i="1"/>
  <c r="AB51" i="1"/>
  <c r="AD47" i="1"/>
  <c r="AD43" i="1"/>
  <c r="AB43" i="1" s="1"/>
  <c r="U42" i="1"/>
  <c r="CX25" i="3"/>
  <c r="P24" i="14" s="1"/>
  <c r="CX23" i="3"/>
  <c r="CU21" i="3"/>
  <c r="AB33" i="1"/>
  <c r="AD58" i="1"/>
  <c r="AB58" i="1" s="1"/>
  <c r="AD55" i="1"/>
  <c r="AB55" i="1" s="1"/>
  <c r="AD54" i="1"/>
  <c r="AB54" i="1" s="1"/>
  <c r="AD48" i="1"/>
  <c r="AB48" i="1" s="1"/>
  <c r="AD44" i="1"/>
  <c r="AB44" i="1" s="1"/>
  <c r="S42" i="1"/>
  <c r="AB38" i="1"/>
  <c r="AD32" i="1"/>
  <c r="CR32" i="1"/>
  <c r="Q32" i="1" s="1"/>
  <c r="CQ27" i="1"/>
  <c r="P27" i="1" s="1"/>
  <c r="AB27" i="1"/>
  <c r="DG117" i="3"/>
  <c r="DF117" i="3"/>
  <c r="AD49" i="1"/>
  <c r="AB49" i="1" s="1"/>
  <c r="AD45" i="1"/>
  <c r="AB45" i="1" s="1"/>
  <c r="AD39" i="1"/>
  <c r="AB39" i="1" s="1"/>
  <c r="CR39" i="1"/>
  <c r="Q39" i="1" s="1"/>
  <c r="T34" i="1"/>
  <c r="V34" i="1"/>
  <c r="CQ40" i="1"/>
  <c r="P40" i="1" s="1"/>
  <c r="CS36" i="1"/>
  <c r="R36" i="1" s="1"/>
  <c r="AD35" i="1"/>
  <c r="AB35" i="1" s="1"/>
  <c r="CR35" i="1"/>
  <c r="I35" i="1"/>
  <c r="AD40" i="1"/>
  <c r="CR30" i="1"/>
  <c r="CX114" i="3"/>
  <c r="R24" i="14" s="1"/>
  <c r="DG111" i="3"/>
  <c r="DF111" i="3"/>
  <c r="CX94" i="3"/>
  <c r="CW77" i="3"/>
  <c r="CX93" i="3"/>
  <c r="CX74" i="3"/>
  <c r="CX18" i="3"/>
  <c r="CU17" i="3"/>
  <c r="CX20" i="3"/>
  <c r="CR26" i="1"/>
  <c r="Q26" i="1" s="1"/>
  <c r="CU6" i="3"/>
  <c r="CX9" i="3"/>
  <c r="CX6" i="3"/>
  <c r="CX10" i="3"/>
  <c r="CX125" i="3"/>
  <c r="DF110" i="3"/>
  <c r="DG110" i="3"/>
  <c r="DG105" i="3"/>
  <c r="DF105" i="3"/>
  <c r="CX82" i="3"/>
  <c r="R29" i="14" s="1"/>
  <c r="CX70" i="3"/>
  <c r="CX3" i="3"/>
  <c r="CU1" i="3"/>
  <c r="CX122" i="3"/>
  <c r="DF118" i="3"/>
  <c r="DG118" i="3"/>
  <c r="CX81" i="3"/>
  <c r="Q24" i="14" s="1"/>
  <c r="CX69" i="3"/>
  <c r="CU16" i="3"/>
  <c r="CV16" i="3"/>
  <c r="CX16" i="3"/>
  <c r="CX126" i="3"/>
  <c r="DG109" i="3"/>
  <c r="DF104" i="3"/>
  <c r="DG104" i="3"/>
  <c r="DF101" i="3"/>
  <c r="DG101" i="3"/>
  <c r="CX88" i="3"/>
  <c r="CW29" i="3"/>
  <c r="CX32" i="3"/>
  <c r="P23" i="14" s="1"/>
  <c r="CX38" i="3"/>
  <c r="CX44" i="3"/>
  <c r="CX29" i="3"/>
  <c r="CX39" i="3"/>
  <c r="CU27" i="3"/>
  <c r="CX46" i="3"/>
  <c r="CV27" i="3"/>
  <c r="CX30" i="3"/>
  <c r="CX35" i="3"/>
  <c r="P31" i="14" s="1"/>
  <c r="O31" i="14" s="1"/>
  <c r="E31" i="14" s="1"/>
  <c r="CX41" i="3"/>
  <c r="P36" i="14" s="1"/>
  <c r="O36" i="14" s="1"/>
  <c r="E36" i="14" s="1"/>
  <c r="CX47" i="3"/>
  <c r="CX27" i="3"/>
  <c r="CX42" i="3"/>
  <c r="P38" i="14" s="1"/>
  <c r="O38" i="14" s="1"/>
  <c r="E38" i="14" s="1"/>
  <c r="CX48" i="3"/>
  <c r="CX12" i="3"/>
  <c r="CX13" i="3"/>
  <c r="CU11" i="3"/>
  <c r="CW14" i="3"/>
  <c r="CX87" i="3"/>
  <c r="R41" i="14" s="1"/>
  <c r="CW78" i="3"/>
  <c r="CX98" i="3"/>
  <c r="CX77" i="3"/>
  <c r="CV74" i="3"/>
  <c r="CX62" i="3"/>
  <c r="CX34" i="3"/>
  <c r="P29" i="14" s="1"/>
  <c r="CX33" i="3"/>
  <c r="P42" i="14" s="1"/>
  <c r="CW24" i="3"/>
  <c r="CV17" i="3"/>
  <c r="CX7" i="3"/>
  <c r="CV6" i="3"/>
  <c r="CX58" i="3"/>
  <c r="Q29" i="14" s="1"/>
  <c r="CX43" i="3"/>
  <c r="CW23" i="3"/>
  <c r="CX22" i="3"/>
  <c r="CX5" i="3"/>
  <c r="CX65" i="3"/>
  <c r="Q36" i="14" s="1"/>
  <c r="CX57" i="3"/>
  <c r="Q42" i="14" s="1"/>
  <c r="CX50" i="3"/>
  <c r="CW31" i="3"/>
  <c r="CX21" i="3"/>
  <c r="CX15" i="3"/>
  <c r="CW4" i="3"/>
  <c r="CW3" i="3"/>
  <c r="CX2" i="3"/>
  <c r="CX68" i="3"/>
  <c r="CX64" i="3"/>
  <c r="Q40" i="14" s="1"/>
  <c r="CX56" i="3"/>
  <c r="Q23" i="14" s="1"/>
  <c r="CX49" i="3"/>
  <c r="CX40" i="3"/>
  <c r="P40" i="14" s="1"/>
  <c r="CW30" i="3"/>
  <c r="CX14" i="3"/>
  <c r="CW13" i="3"/>
  <c r="CV1" i="3"/>
  <c r="CX28" i="3"/>
  <c r="CX26" i="3"/>
  <c r="CW19" i="3"/>
  <c r="CV11" i="3"/>
  <c r="CW9" i="3"/>
  <c r="CX53" i="3"/>
  <c r="CX45" i="3"/>
  <c r="CX37" i="3"/>
  <c r="P41" i="14" s="1"/>
  <c r="CX36" i="3"/>
  <c r="P34" i="14" s="1"/>
  <c r="CW8" i="3"/>
  <c r="CW53" i="3"/>
  <c r="CX31" i="3"/>
  <c r="CX24" i="3"/>
  <c r="CV21" i="3"/>
  <c r="CX17" i="3"/>
  <c r="CX11" i="3"/>
  <c r="CX8" i="3"/>
  <c r="CX1" i="3"/>
  <c r="CX4" i="3"/>
  <c r="CX19" i="3"/>
  <c r="F64" i="12" l="1"/>
  <c r="G64" i="12"/>
  <c r="CP31" i="1"/>
  <c r="O31" i="1" s="1"/>
  <c r="DG91" i="12"/>
  <c r="DI91" i="12"/>
  <c r="U91" i="12"/>
  <c r="F150" i="12"/>
  <c r="G150" i="12"/>
  <c r="DI229" i="12"/>
  <c r="DG229" i="12"/>
  <c r="U229" i="12"/>
  <c r="G189" i="12"/>
  <c r="DS189" i="12"/>
  <c r="DI126" i="12"/>
  <c r="U126" i="12"/>
  <c r="U224" i="12"/>
  <c r="DI224" i="12"/>
  <c r="F51" i="12"/>
  <c r="G51" i="12"/>
  <c r="DI52" i="12"/>
  <c r="U52" i="12"/>
  <c r="DI111" i="12"/>
  <c r="U111" i="12"/>
  <c r="DG111" i="12"/>
  <c r="DI149" i="12"/>
  <c r="U149" i="12"/>
  <c r="DM182" i="12"/>
  <c r="DI182" i="12"/>
  <c r="F182" i="12" s="1"/>
  <c r="DL182" i="12" s="1"/>
  <c r="U182" i="12"/>
  <c r="G182" i="12" s="1"/>
  <c r="G112" i="12"/>
  <c r="DS112" i="12"/>
  <c r="F148" i="12"/>
  <c r="DR148" i="12"/>
  <c r="G50" i="12"/>
  <c r="DS50" i="12"/>
  <c r="DI100" i="12"/>
  <c r="U100" i="12"/>
  <c r="DI152" i="12"/>
  <c r="U152" i="12"/>
  <c r="CZ32" i="1"/>
  <c r="Y32" i="1" s="1"/>
  <c r="U99" i="12"/>
  <c r="DG99" i="12"/>
  <c r="DI99" i="12"/>
  <c r="AB64" i="1"/>
  <c r="G148" i="12"/>
  <c r="DS148" i="12"/>
  <c r="F80" i="12"/>
  <c r="G80" i="12"/>
  <c r="U223" i="12"/>
  <c r="DI223" i="12"/>
  <c r="DI114" i="12"/>
  <c r="U114" i="12"/>
  <c r="F113" i="12"/>
  <c r="G113" i="12"/>
  <c r="DM133" i="12"/>
  <c r="DI133" i="12"/>
  <c r="F133" i="12" s="1"/>
  <c r="DL133" i="12" s="1"/>
  <c r="U133" i="12"/>
  <c r="G133" i="12" s="1"/>
  <c r="DM163" i="12"/>
  <c r="DI163" i="12"/>
  <c r="F163" i="12" s="1"/>
  <c r="DL163" i="12" s="1"/>
  <c r="U163" i="12"/>
  <c r="G163" i="12" s="1"/>
  <c r="CY68" i="1"/>
  <c r="X68" i="1" s="1"/>
  <c r="U211" i="12"/>
  <c r="DI211" i="12"/>
  <c r="DG211" i="12"/>
  <c r="U230" i="12"/>
  <c r="DI230" i="12"/>
  <c r="F203" i="12"/>
  <c r="DL203" i="12"/>
  <c r="DR112" i="12"/>
  <c r="F112" i="12"/>
  <c r="G170" i="12"/>
  <c r="DS170" i="12"/>
  <c r="F50" i="12"/>
  <c r="DR50" i="12"/>
  <c r="DI63" i="12"/>
  <c r="U63" i="12"/>
  <c r="F127" i="12"/>
  <c r="G127" i="12"/>
  <c r="G172" i="12"/>
  <c r="F172" i="12"/>
  <c r="DM56" i="12"/>
  <c r="DI56" i="12"/>
  <c r="F56" i="12" s="1"/>
  <c r="DL56" i="12" s="1"/>
  <c r="U56" i="12"/>
  <c r="G56" i="12" s="1"/>
  <c r="DI78" i="12"/>
  <c r="DG78" i="12"/>
  <c r="U78" i="12"/>
  <c r="DI128" i="12"/>
  <c r="U128" i="12"/>
  <c r="U173" i="12"/>
  <c r="DI173" i="12"/>
  <c r="DI188" i="12"/>
  <c r="DG188" i="12"/>
  <c r="U188" i="12"/>
  <c r="DI202" i="12"/>
  <c r="DG202" i="12"/>
  <c r="U202" i="12"/>
  <c r="DM69" i="12"/>
  <c r="DI69" i="12"/>
  <c r="F69" i="12" s="1"/>
  <c r="DL69" i="12" s="1"/>
  <c r="U69" i="12"/>
  <c r="G69" i="12" s="1"/>
  <c r="U79" i="12"/>
  <c r="DI79" i="12"/>
  <c r="CZ47" i="1"/>
  <c r="Y47" i="1" s="1"/>
  <c r="DI151" i="12"/>
  <c r="U151" i="12"/>
  <c r="DI49" i="12"/>
  <c r="U49" i="12"/>
  <c r="DG49" i="12"/>
  <c r="DI62" i="12"/>
  <c r="U62" i="12"/>
  <c r="DG62" i="12"/>
  <c r="DI65" i="12"/>
  <c r="U65" i="12"/>
  <c r="U73" i="12"/>
  <c r="F73" i="12"/>
  <c r="DI73" i="12" s="1"/>
  <c r="F75" i="12" s="1"/>
  <c r="U81" i="12"/>
  <c r="DI81" i="12"/>
  <c r="DI125" i="12"/>
  <c r="U125" i="12"/>
  <c r="DG125" i="12"/>
  <c r="U134" i="12"/>
  <c r="G134" i="12" s="1"/>
  <c r="DI134" i="12"/>
  <c r="F134" i="12" s="1"/>
  <c r="DL134" i="12" s="1"/>
  <c r="DM134" i="12"/>
  <c r="U171" i="12"/>
  <c r="DI171" i="12"/>
  <c r="G190" i="12"/>
  <c r="F190" i="12"/>
  <c r="U191" i="12"/>
  <c r="DI191" i="12"/>
  <c r="U221" i="12"/>
  <c r="DI221" i="12"/>
  <c r="G231" i="12"/>
  <c r="F231" i="12"/>
  <c r="F189" i="12"/>
  <c r="DR189" i="12"/>
  <c r="G203" i="12"/>
  <c r="DM203" i="12"/>
  <c r="DR170" i="12"/>
  <c r="F170" i="12"/>
  <c r="DI215" i="12"/>
  <c r="DM215" i="12"/>
  <c r="G216" i="12" s="1"/>
  <c r="U215" i="12"/>
  <c r="O24" i="14"/>
  <c r="E24" i="14" s="1"/>
  <c r="U195" i="12"/>
  <c r="DI195" i="12"/>
  <c r="DM195" i="12"/>
  <c r="DI183" i="12"/>
  <c r="F183" i="12" s="1"/>
  <c r="DL183" i="12" s="1"/>
  <c r="DM183" i="12"/>
  <c r="U183" i="12"/>
  <c r="G183" i="12" s="1"/>
  <c r="U180" i="12"/>
  <c r="G180" i="12" s="1"/>
  <c r="DM180" i="12"/>
  <c r="DI180" i="12"/>
  <c r="F180" i="12" s="1"/>
  <c r="DL180" i="12" s="1"/>
  <c r="U179" i="12"/>
  <c r="G179" i="12" s="1"/>
  <c r="DI179" i="12"/>
  <c r="F179" i="12" s="1"/>
  <c r="DL179" i="12" s="1"/>
  <c r="DM179" i="12"/>
  <c r="P51" i="14"/>
  <c r="O51" i="14" s="1"/>
  <c r="E51" i="14" s="1"/>
  <c r="E178" i="12"/>
  <c r="DI177" i="12"/>
  <c r="DM177" i="12"/>
  <c r="U177" i="12"/>
  <c r="O59" i="14"/>
  <c r="E59" i="14" s="1"/>
  <c r="O40" i="14"/>
  <c r="E40" i="14" s="1"/>
  <c r="O42" i="14"/>
  <c r="E42" i="14" s="1"/>
  <c r="P63" i="14"/>
  <c r="O63" i="14" s="1"/>
  <c r="E63" i="14" s="1"/>
  <c r="E164" i="12"/>
  <c r="DI161" i="12"/>
  <c r="F161" i="12" s="1"/>
  <c r="DL161" i="12" s="1"/>
  <c r="DM161" i="12"/>
  <c r="U161" i="12"/>
  <c r="G161" i="12" s="1"/>
  <c r="E160" i="12"/>
  <c r="Q57" i="14"/>
  <c r="O57" i="14"/>
  <c r="E57" i="14" s="1"/>
  <c r="E159" i="12"/>
  <c r="P47" i="14"/>
  <c r="O47" i="14" s="1"/>
  <c r="E47" i="14" s="1"/>
  <c r="E158" i="12"/>
  <c r="Q62" i="14"/>
  <c r="O62" i="14" s="1"/>
  <c r="E62" i="14" s="1"/>
  <c r="E157" i="12"/>
  <c r="P60" i="14"/>
  <c r="O60" i="14" s="1"/>
  <c r="E60" i="14" s="1"/>
  <c r="E156" i="12"/>
  <c r="P52" i="14"/>
  <c r="O52" i="14" s="1"/>
  <c r="E52" i="14" s="1"/>
  <c r="DM155" i="12"/>
  <c r="U155" i="12"/>
  <c r="DI155" i="12"/>
  <c r="O41" i="14"/>
  <c r="E41" i="14" s="1"/>
  <c r="O34" i="14"/>
  <c r="E34" i="14" s="1"/>
  <c r="O29" i="14"/>
  <c r="E29" i="14" s="1"/>
  <c r="O23" i="14"/>
  <c r="E23" i="14" s="1"/>
  <c r="DM141" i="12"/>
  <c r="DI141" i="12"/>
  <c r="F141" i="12" s="1"/>
  <c r="DL141" i="12" s="1"/>
  <c r="U141" i="12"/>
  <c r="G141" i="12" s="1"/>
  <c r="DM140" i="12"/>
  <c r="U140" i="12"/>
  <c r="G140" i="12" s="1"/>
  <c r="DI140" i="12"/>
  <c r="F140" i="12" s="1"/>
  <c r="DL140" i="12" s="1"/>
  <c r="DM139" i="12"/>
  <c r="U139" i="12"/>
  <c r="G139" i="12" s="1"/>
  <c r="DI139" i="12"/>
  <c r="F139" i="12" s="1"/>
  <c r="DL139" i="12" s="1"/>
  <c r="U138" i="12"/>
  <c r="G138" i="12" s="1"/>
  <c r="DM138" i="12"/>
  <c r="DI138" i="12"/>
  <c r="F138" i="12" s="1"/>
  <c r="DL138" i="12" s="1"/>
  <c r="DI137" i="12"/>
  <c r="F137" i="12" s="1"/>
  <c r="DL137" i="12" s="1"/>
  <c r="DM137" i="12"/>
  <c r="U137" i="12"/>
  <c r="G137" i="12" s="1"/>
  <c r="U136" i="12"/>
  <c r="G136" i="12" s="1"/>
  <c r="DI136" i="12"/>
  <c r="F136" i="12" s="1"/>
  <c r="DL136" i="12" s="1"/>
  <c r="DM136" i="12"/>
  <c r="DI135" i="12"/>
  <c r="F135" i="12" s="1"/>
  <c r="DL135" i="12" s="1"/>
  <c r="DM135" i="12"/>
  <c r="U135" i="12"/>
  <c r="G135" i="12" s="1"/>
  <c r="DI132" i="12"/>
  <c r="DM132" i="12"/>
  <c r="U132" i="12"/>
  <c r="E118" i="12"/>
  <c r="P64" i="14"/>
  <c r="O64" i="14" s="1"/>
  <c r="E64" i="14" s="1"/>
  <c r="DM105" i="12"/>
  <c r="G106" i="12" s="1"/>
  <c r="U105" i="12"/>
  <c r="DI105" i="12"/>
  <c r="EY14" i="8"/>
  <c r="AB71" i="1"/>
  <c r="CP71" i="1"/>
  <c r="O71" i="1" s="1"/>
  <c r="CZ71" i="1"/>
  <c r="Y71" i="1" s="1"/>
  <c r="CP70" i="1"/>
  <c r="O70" i="1" s="1"/>
  <c r="F219" i="12" s="1"/>
  <c r="CY71" i="1"/>
  <c r="X71" i="1" s="1"/>
  <c r="CZ68" i="1"/>
  <c r="Y68" i="1" s="1"/>
  <c r="AB70" i="1"/>
  <c r="CP69" i="1"/>
  <c r="O69" i="1" s="1"/>
  <c r="GM69" i="1" s="1"/>
  <c r="GN69" i="1" s="1"/>
  <c r="CZ64" i="1"/>
  <c r="Y64" i="1" s="1"/>
  <c r="CZ67" i="1"/>
  <c r="Y67" i="1" s="1"/>
  <c r="GM67" i="1"/>
  <c r="GN67" i="1" s="1"/>
  <c r="CP68" i="1"/>
  <c r="O68" i="1" s="1"/>
  <c r="CP66" i="1"/>
  <c r="O66" i="1" s="1"/>
  <c r="CY65" i="1"/>
  <c r="X65" i="1" s="1"/>
  <c r="CY66" i="1"/>
  <c r="X66" i="1" s="1"/>
  <c r="CY32" i="1"/>
  <c r="X32" i="1" s="1"/>
  <c r="CY64" i="1"/>
  <c r="X64" i="1" s="1"/>
  <c r="CP64" i="1"/>
  <c r="O64" i="1" s="1"/>
  <c r="CZ65" i="1"/>
  <c r="Y65" i="1" s="1"/>
  <c r="FY14" i="8"/>
  <c r="IO14" i="8"/>
  <c r="GF14" i="8"/>
  <c r="IS14" i="8"/>
  <c r="CP65" i="1"/>
  <c r="O65" i="1" s="1"/>
  <c r="GM65" i="1" s="1"/>
  <c r="GP65" i="1" s="1"/>
  <c r="CP63" i="1"/>
  <c r="O63" i="1" s="1"/>
  <c r="GM63" i="1" s="1"/>
  <c r="GN63" i="1" s="1"/>
  <c r="GC14" i="8"/>
  <c r="CZ31" i="1"/>
  <c r="Y31" i="1" s="1"/>
  <c r="P56" i="1"/>
  <c r="CP60" i="1"/>
  <c r="O60" i="1" s="1"/>
  <c r="GM60" i="1" s="1"/>
  <c r="GN60" i="1" s="1"/>
  <c r="CP57" i="1"/>
  <c r="O57" i="1" s="1"/>
  <c r="CP58" i="1"/>
  <c r="O58" i="1" s="1"/>
  <c r="GM58" i="1" s="1"/>
  <c r="GN58" i="1" s="1"/>
  <c r="CP62" i="1"/>
  <c r="O62" i="1" s="1"/>
  <c r="GM62" i="1" s="1"/>
  <c r="GN62" i="1" s="1"/>
  <c r="CY57" i="1"/>
  <c r="X57" i="1" s="1"/>
  <c r="U59" i="1"/>
  <c r="E43" i="9"/>
  <c r="CP61" i="1"/>
  <c r="O61" i="1" s="1"/>
  <c r="GM61" i="1" s="1"/>
  <c r="GN61" i="1" s="1"/>
  <c r="CZ57" i="1"/>
  <c r="Y57" i="1" s="1"/>
  <c r="Q59" i="1"/>
  <c r="W59" i="1"/>
  <c r="W50" i="1"/>
  <c r="Q52" i="1"/>
  <c r="V49" i="1"/>
  <c r="CP55" i="1"/>
  <c r="O55" i="1" s="1"/>
  <c r="GM55" i="1" s="1"/>
  <c r="GN55" i="1" s="1"/>
  <c r="S50" i="1"/>
  <c r="U50" i="1"/>
  <c r="GX50" i="1"/>
  <c r="T50" i="1"/>
  <c r="U49" i="1"/>
  <c r="E33" i="9"/>
  <c r="R50" i="1"/>
  <c r="E34" i="9"/>
  <c r="V56" i="1"/>
  <c r="P51" i="1"/>
  <c r="E35" i="9"/>
  <c r="T52" i="1"/>
  <c r="E36" i="9"/>
  <c r="GX56" i="1"/>
  <c r="E40" i="9"/>
  <c r="CP47" i="1"/>
  <c r="O47" i="1" s="1"/>
  <c r="W52" i="1"/>
  <c r="T53" i="1"/>
  <c r="E37" i="9"/>
  <c r="CP54" i="1"/>
  <c r="O54" i="1" s="1"/>
  <c r="GM54" i="1" s="1"/>
  <c r="GN54" i="1" s="1"/>
  <c r="AB47" i="1"/>
  <c r="Q51" i="1"/>
  <c r="R51" i="1"/>
  <c r="S51" i="1"/>
  <c r="S52" i="1"/>
  <c r="GX52" i="1"/>
  <c r="T49" i="1"/>
  <c r="W56" i="1"/>
  <c r="Q50" i="1"/>
  <c r="Q56" i="1"/>
  <c r="P49" i="1"/>
  <c r="GX49" i="1"/>
  <c r="T56" i="1"/>
  <c r="S56" i="1"/>
  <c r="CP48" i="1"/>
  <c r="O48" i="1" s="1"/>
  <c r="GM48" i="1" s="1"/>
  <c r="GN48" i="1" s="1"/>
  <c r="CP41" i="1"/>
  <c r="O41" i="1" s="1"/>
  <c r="GM41" i="1" s="1"/>
  <c r="GN41" i="1" s="1"/>
  <c r="CP46" i="1"/>
  <c r="O46" i="1" s="1"/>
  <c r="GM46" i="1" s="1"/>
  <c r="GN46" i="1" s="1"/>
  <c r="CP39" i="1"/>
  <c r="O39" i="1" s="1"/>
  <c r="GM39" i="1" s="1"/>
  <c r="GN39" i="1" s="1"/>
  <c r="AB34" i="1"/>
  <c r="CP40" i="1"/>
  <c r="O40" i="1" s="1"/>
  <c r="GM40" i="1" s="1"/>
  <c r="GN40" i="1" s="1"/>
  <c r="CP38" i="1"/>
  <c r="O38" i="1" s="1"/>
  <c r="GM38" i="1" s="1"/>
  <c r="GN38" i="1" s="1"/>
  <c r="CP43" i="1"/>
  <c r="O43" i="1" s="1"/>
  <c r="GM43" i="1" s="1"/>
  <c r="GN43" i="1" s="1"/>
  <c r="CZ36" i="1"/>
  <c r="Y36" i="1" s="1"/>
  <c r="CP45" i="1"/>
  <c r="O45" i="1" s="1"/>
  <c r="GM45" i="1" s="1"/>
  <c r="GN45" i="1" s="1"/>
  <c r="CP37" i="1"/>
  <c r="O37" i="1" s="1"/>
  <c r="GM37" i="1" s="1"/>
  <c r="GN37" i="1" s="1"/>
  <c r="AB36" i="1"/>
  <c r="CP36" i="1"/>
  <c r="O36" i="1" s="1"/>
  <c r="CP44" i="1"/>
  <c r="O44" i="1" s="1"/>
  <c r="GM44" i="1" s="1"/>
  <c r="GN44" i="1" s="1"/>
  <c r="CY36" i="1"/>
  <c r="X36" i="1" s="1"/>
  <c r="CP33" i="1"/>
  <c r="O33" i="1" s="1"/>
  <c r="GM33" i="1" s="1"/>
  <c r="GN33" i="1" s="1"/>
  <c r="CP34" i="1"/>
  <c r="O34" i="1" s="1"/>
  <c r="R35" i="1"/>
  <c r="E19" i="9"/>
  <c r="CZ34" i="1"/>
  <c r="Y34" i="1" s="1"/>
  <c r="P35" i="1"/>
  <c r="CP32" i="1"/>
  <c r="O32" i="1" s="1"/>
  <c r="AB32" i="1"/>
  <c r="CY31" i="1"/>
  <c r="X31" i="1" s="1"/>
  <c r="Q30" i="1"/>
  <c r="GN28" i="1"/>
  <c r="U30" i="1"/>
  <c r="R30" i="1"/>
  <c r="CZ29" i="1"/>
  <c r="Y29" i="1" s="1"/>
  <c r="AB29" i="1"/>
  <c r="IB14" i="8"/>
  <c r="CM73" i="1"/>
  <c r="GX30" i="1"/>
  <c r="CY26" i="1"/>
  <c r="X26" i="1" s="1"/>
  <c r="T30" i="1"/>
  <c r="S30" i="1"/>
  <c r="V30" i="1"/>
  <c r="AB24" i="1"/>
  <c r="P30" i="1"/>
  <c r="CP24" i="1"/>
  <c r="O24" i="1" s="1"/>
  <c r="CZ26" i="1"/>
  <c r="Y26" i="1" s="1"/>
  <c r="CP26" i="1"/>
  <c r="O26" i="1" s="1"/>
  <c r="CP29" i="1"/>
  <c r="O29" i="1" s="1"/>
  <c r="CZ24" i="1"/>
  <c r="Y24" i="1" s="1"/>
  <c r="CP25" i="1"/>
  <c r="O25" i="1" s="1"/>
  <c r="GM25" i="1" s="1"/>
  <c r="GN25" i="1" s="1"/>
  <c r="AQ73" i="1"/>
  <c r="AP73" i="1"/>
  <c r="CI73" i="1"/>
  <c r="CI22" i="1" s="1"/>
  <c r="CG73" i="1"/>
  <c r="CG22" i="1" s="1"/>
  <c r="CY24" i="1"/>
  <c r="X24" i="1" s="1"/>
  <c r="DF50" i="3"/>
  <c r="DJ50" i="3" s="1"/>
  <c r="DG50" i="3"/>
  <c r="DF47" i="3"/>
  <c r="DJ47" i="3" s="1"/>
  <c r="DG47" i="3"/>
  <c r="DF81" i="3"/>
  <c r="DG81" i="3"/>
  <c r="DF64" i="3"/>
  <c r="DG64" i="3"/>
  <c r="DF21" i="3"/>
  <c r="DG21" i="3"/>
  <c r="DF22" i="3"/>
  <c r="DG22" i="3"/>
  <c r="DG77" i="3"/>
  <c r="DF77" i="3"/>
  <c r="DF87" i="3"/>
  <c r="DG87" i="3"/>
  <c r="DF42" i="3"/>
  <c r="DG42" i="3"/>
  <c r="DF38" i="3"/>
  <c r="DG38" i="3"/>
  <c r="DF70" i="3"/>
  <c r="DJ70" i="3" s="1"/>
  <c r="DG70" i="3"/>
  <c r="DF6" i="3"/>
  <c r="DG6" i="3"/>
  <c r="HG35" i="1"/>
  <c r="GX35" i="1"/>
  <c r="W35" i="1"/>
  <c r="CP27" i="1"/>
  <c r="O27" i="1" s="1"/>
  <c r="GM27" i="1" s="1"/>
  <c r="GN27" i="1" s="1"/>
  <c r="U35" i="1"/>
  <c r="DF76" i="3"/>
  <c r="DG76" i="3"/>
  <c r="DF96" i="3"/>
  <c r="DG96" i="3"/>
  <c r="DF89" i="3"/>
  <c r="DJ89" i="3" s="1"/>
  <c r="DG89" i="3"/>
  <c r="R59" i="1"/>
  <c r="CY34" i="1"/>
  <c r="X34" i="1" s="1"/>
  <c r="Q49" i="1"/>
  <c r="T51" i="1"/>
  <c r="W51" i="1"/>
  <c r="DF72" i="3"/>
  <c r="DG72" i="3"/>
  <c r="DF66" i="3"/>
  <c r="DG66" i="3"/>
  <c r="S49" i="1"/>
  <c r="DG17" i="3"/>
  <c r="DF17" i="3"/>
  <c r="DG43" i="3"/>
  <c r="DF43" i="3"/>
  <c r="DJ43" i="3" s="1"/>
  <c r="DG8" i="3"/>
  <c r="DF8" i="3"/>
  <c r="DG11" i="3"/>
  <c r="DF11" i="3"/>
  <c r="DF14" i="3"/>
  <c r="DG14" i="3"/>
  <c r="DG68" i="3"/>
  <c r="DF68" i="3"/>
  <c r="DJ68" i="3" s="1"/>
  <c r="DG98" i="3"/>
  <c r="DF98" i="3"/>
  <c r="DF27" i="3"/>
  <c r="DG27" i="3"/>
  <c r="DF46" i="3"/>
  <c r="DJ46" i="3" s="1"/>
  <c r="DG46" i="3"/>
  <c r="DF32" i="3"/>
  <c r="DG32" i="3"/>
  <c r="DG69" i="3"/>
  <c r="DF69" i="3"/>
  <c r="DJ69" i="3" s="1"/>
  <c r="DG82" i="3"/>
  <c r="DF82" i="3"/>
  <c r="DF9" i="3"/>
  <c r="DG9" i="3"/>
  <c r="DF18" i="3"/>
  <c r="DG18" i="3"/>
  <c r="Q35" i="1"/>
  <c r="S35" i="1"/>
  <c r="DF23" i="3"/>
  <c r="DG23" i="3"/>
  <c r="DF97" i="3"/>
  <c r="DG97" i="3"/>
  <c r="DF90" i="3"/>
  <c r="DG90" i="3"/>
  <c r="DF83" i="3"/>
  <c r="DG83" i="3"/>
  <c r="DG123" i="3"/>
  <c r="DF123" i="3"/>
  <c r="P59" i="1"/>
  <c r="T35" i="1"/>
  <c r="U52" i="1"/>
  <c r="R52" i="1"/>
  <c r="DF71" i="3"/>
  <c r="DJ71" i="3" s="1"/>
  <c r="DG71" i="3"/>
  <c r="DF60" i="3"/>
  <c r="DG60" i="3"/>
  <c r="DF2" i="3"/>
  <c r="DG2" i="3"/>
  <c r="DF91" i="3"/>
  <c r="DG91" i="3"/>
  <c r="DF124" i="3"/>
  <c r="DG124" i="3"/>
  <c r="P53" i="1"/>
  <c r="V53" i="1"/>
  <c r="S53" i="1"/>
  <c r="W53" i="1"/>
  <c r="GX53" i="1"/>
  <c r="DG67" i="3"/>
  <c r="DF67" i="3"/>
  <c r="DJ67" i="3" s="1"/>
  <c r="DF25" i="3"/>
  <c r="DG25" i="3"/>
  <c r="DF84" i="3"/>
  <c r="DG84" i="3"/>
  <c r="DG128" i="3"/>
  <c r="DF128" i="3"/>
  <c r="DF19" i="3"/>
  <c r="DG19" i="3"/>
  <c r="DG37" i="3"/>
  <c r="DF37" i="3"/>
  <c r="DF26" i="3"/>
  <c r="DJ26" i="3" s="1"/>
  <c r="DG26" i="3"/>
  <c r="DF40" i="3"/>
  <c r="DG40" i="3"/>
  <c r="DF57" i="3"/>
  <c r="DG57" i="3"/>
  <c r="DF58" i="3"/>
  <c r="DG58" i="3"/>
  <c r="DF34" i="3"/>
  <c r="DG34" i="3"/>
  <c r="DF13" i="3"/>
  <c r="DG13" i="3"/>
  <c r="DF41" i="3"/>
  <c r="DG41" i="3"/>
  <c r="DF39" i="3"/>
  <c r="DJ39" i="3" s="1"/>
  <c r="DG39" i="3"/>
  <c r="DG88" i="3"/>
  <c r="DF88" i="3"/>
  <c r="DG126" i="3"/>
  <c r="DF126" i="3"/>
  <c r="DF122" i="3"/>
  <c r="DJ122" i="3" s="1"/>
  <c r="DG122" i="3"/>
  <c r="DF93" i="3"/>
  <c r="DJ93" i="3" s="1"/>
  <c r="DG93" i="3"/>
  <c r="DF114" i="3"/>
  <c r="DG114" i="3"/>
  <c r="CY29" i="1"/>
  <c r="X29" i="1" s="1"/>
  <c r="DF92" i="3"/>
  <c r="DG92" i="3"/>
  <c r="DF85" i="3"/>
  <c r="DG85" i="3"/>
  <c r="DF78" i="3"/>
  <c r="DG78" i="3"/>
  <c r="R53" i="1"/>
  <c r="BC22" i="1"/>
  <c r="F89" i="1"/>
  <c r="BC103" i="1"/>
  <c r="V51" i="1"/>
  <c r="R56" i="1"/>
  <c r="U56" i="1"/>
  <c r="DF61" i="3"/>
  <c r="DG61" i="3"/>
  <c r="DF51" i="3"/>
  <c r="DG51" i="3"/>
  <c r="DF63" i="3"/>
  <c r="DJ63" i="3" s="1"/>
  <c r="DG63" i="3"/>
  <c r="P52" i="1"/>
  <c r="GX51" i="1"/>
  <c r="S59" i="1"/>
  <c r="Q53" i="1"/>
  <c r="CZ66" i="1"/>
  <c r="Y66" i="1" s="1"/>
  <c r="GX59" i="1"/>
  <c r="DF33" i="3"/>
  <c r="DG33" i="3"/>
  <c r="DF74" i="3"/>
  <c r="DG74" i="3"/>
  <c r="DF4" i="3"/>
  <c r="DG4" i="3"/>
  <c r="DG28" i="3"/>
  <c r="DF28" i="3"/>
  <c r="DF35" i="3"/>
  <c r="DG35" i="3"/>
  <c r="DF29" i="3"/>
  <c r="DG29" i="3"/>
  <c r="V35" i="1"/>
  <c r="DF86" i="3"/>
  <c r="DG86" i="3"/>
  <c r="DF79" i="3"/>
  <c r="DG79" i="3"/>
  <c r="DF75" i="3"/>
  <c r="DG75" i="3"/>
  <c r="DF127" i="3"/>
  <c r="DG127" i="3"/>
  <c r="DG113" i="3"/>
  <c r="DF113" i="3"/>
  <c r="DF55" i="3"/>
  <c r="DG55" i="3"/>
  <c r="DF59" i="3"/>
  <c r="DG59" i="3"/>
  <c r="U53" i="1"/>
  <c r="AO22" i="1"/>
  <c r="AO103" i="1"/>
  <c r="F77" i="1"/>
  <c r="V59" i="1"/>
  <c r="DF36" i="3"/>
  <c r="DG36" i="3"/>
  <c r="DG24" i="3"/>
  <c r="DF24" i="3"/>
  <c r="DF45" i="3"/>
  <c r="DJ45" i="3" s="1"/>
  <c r="DG45" i="3"/>
  <c r="DG49" i="3"/>
  <c r="DF49" i="3"/>
  <c r="DF65" i="3"/>
  <c r="DG65" i="3"/>
  <c r="DG62" i="3"/>
  <c r="DF62" i="3"/>
  <c r="DF12" i="3"/>
  <c r="DG12" i="3"/>
  <c r="DF16" i="3"/>
  <c r="DG16" i="3"/>
  <c r="DF125" i="3"/>
  <c r="DG125" i="3"/>
  <c r="DG1" i="3"/>
  <c r="DF1" i="3"/>
  <c r="DG31" i="3"/>
  <c r="DF31" i="3"/>
  <c r="DF53" i="3"/>
  <c r="DG53" i="3"/>
  <c r="DG56" i="3"/>
  <c r="DF56" i="3"/>
  <c r="DG15" i="3"/>
  <c r="DF15" i="3"/>
  <c r="DG5" i="3"/>
  <c r="DF5" i="3"/>
  <c r="DF7" i="3"/>
  <c r="DG7" i="3"/>
  <c r="DF48" i="3"/>
  <c r="DJ48" i="3" s="1"/>
  <c r="DG48" i="3"/>
  <c r="DF30" i="3"/>
  <c r="DG30" i="3"/>
  <c r="DF44" i="3"/>
  <c r="DJ44" i="3" s="1"/>
  <c r="DG44" i="3"/>
  <c r="DF3" i="3"/>
  <c r="DG3" i="3"/>
  <c r="DF10" i="3"/>
  <c r="DG10" i="3"/>
  <c r="DF20" i="3"/>
  <c r="DJ20" i="3" s="1"/>
  <c r="DG20" i="3"/>
  <c r="DG94" i="3"/>
  <c r="DF94" i="3"/>
  <c r="DJ94" i="3" s="1"/>
  <c r="CP42" i="1"/>
  <c r="O42" i="1" s="1"/>
  <c r="GM42" i="1" s="1"/>
  <c r="GN42" i="1" s="1"/>
  <c r="DF80" i="3"/>
  <c r="DG80" i="3"/>
  <c r="DF95" i="3"/>
  <c r="DJ95" i="3" s="1"/>
  <c r="DG95" i="3"/>
  <c r="T59" i="1"/>
  <c r="BB22" i="1"/>
  <c r="F86" i="1"/>
  <c r="BB103" i="1"/>
  <c r="W49" i="1"/>
  <c r="U51" i="1"/>
  <c r="R49" i="1"/>
  <c r="V52" i="1"/>
  <c r="P50" i="1"/>
  <c r="V50" i="1"/>
  <c r="DF73" i="3"/>
  <c r="DJ73" i="3" s="1"/>
  <c r="DG73" i="3"/>
  <c r="DF52" i="3"/>
  <c r="DG52" i="3"/>
  <c r="DF54" i="3"/>
  <c r="DG54" i="3"/>
  <c r="DG121" i="3"/>
  <c r="DF121" i="3"/>
  <c r="F187" i="12" l="1"/>
  <c r="F97" i="12"/>
  <c r="GM70" i="1"/>
  <c r="GN70" i="1" s="1"/>
  <c r="F209" i="12"/>
  <c r="GM71" i="1"/>
  <c r="GN71" i="1" s="1"/>
  <c r="F60" i="12"/>
  <c r="F123" i="12"/>
  <c r="DI116" i="12"/>
  <c r="U116" i="12"/>
  <c r="F109" i="12"/>
  <c r="DI130" i="12"/>
  <c r="U130" i="12"/>
  <c r="DI93" i="12"/>
  <c r="U93" i="12"/>
  <c r="U192" i="12"/>
  <c r="DI192" i="12"/>
  <c r="U233" i="12"/>
  <c r="DI233" i="12"/>
  <c r="F225" i="12"/>
  <c r="F221" i="12"/>
  <c r="DR221" i="12"/>
  <c r="G191" i="12"/>
  <c r="DM191" i="12"/>
  <c r="G197" i="12" s="1"/>
  <c r="G125" i="12"/>
  <c r="DS125" i="12"/>
  <c r="F65" i="12"/>
  <c r="DL65" i="12"/>
  <c r="F70" i="12" s="1"/>
  <c r="DR62" i="12"/>
  <c r="F62" i="12"/>
  <c r="G151" i="12"/>
  <c r="DM151" i="12"/>
  <c r="G79" i="12"/>
  <c r="DS79" i="12"/>
  <c r="DS188" i="12"/>
  <c r="G188" i="12"/>
  <c r="G173" i="12"/>
  <c r="DM173" i="12"/>
  <c r="F63" i="12"/>
  <c r="DR63" i="12"/>
  <c r="G223" i="12"/>
  <c r="DS223" i="12"/>
  <c r="DR152" i="12"/>
  <c r="F152" i="12"/>
  <c r="F52" i="12"/>
  <c r="DL52" i="12"/>
  <c r="F57" i="12" s="1"/>
  <c r="F224" i="12"/>
  <c r="DR224" i="12"/>
  <c r="DR126" i="12"/>
  <c r="F126" i="12"/>
  <c r="F89" i="12"/>
  <c r="DI67" i="12"/>
  <c r="U67" i="12"/>
  <c r="F47" i="12"/>
  <c r="U83" i="12"/>
  <c r="DI83" i="12"/>
  <c r="GM47" i="1"/>
  <c r="GN47" i="1" s="1"/>
  <c r="F146" i="12"/>
  <c r="DI175" i="12"/>
  <c r="U175" i="12"/>
  <c r="F168" i="12"/>
  <c r="DI102" i="12"/>
  <c r="U102" i="12"/>
  <c r="F200" i="12"/>
  <c r="U193" i="12"/>
  <c r="DI193" i="12"/>
  <c r="DI213" i="12"/>
  <c r="U213" i="12"/>
  <c r="F227" i="12"/>
  <c r="G221" i="12"/>
  <c r="S225" i="12"/>
  <c r="G225" i="12" s="1"/>
  <c r="DS221" i="12"/>
  <c r="DR171" i="12"/>
  <c r="F171" i="12"/>
  <c r="F125" i="12"/>
  <c r="DR125" i="12"/>
  <c r="G259" i="12"/>
  <c r="DL151" i="12"/>
  <c r="F151" i="12"/>
  <c r="DS202" i="12"/>
  <c r="G202" i="12"/>
  <c r="G78" i="12"/>
  <c r="DS78" i="12"/>
  <c r="F230" i="12"/>
  <c r="DR230" i="12"/>
  <c r="F211" i="12"/>
  <c r="DR211" i="12"/>
  <c r="G114" i="12"/>
  <c r="DM114" i="12"/>
  <c r="G99" i="12"/>
  <c r="DS99" i="12"/>
  <c r="G149" i="12"/>
  <c r="DS149" i="12"/>
  <c r="G111" i="12"/>
  <c r="DS111" i="12"/>
  <c r="G224" i="12"/>
  <c r="DS224" i="12"/>
  <c r="DR229" i="12"/>
  <c r="F229" i="12"/>
  <c r="G91" i="12"/>
  <c r="DS91" i="12"/>
  <c r="U205" i="12"/>
  <c r="DI205" i="12"/>
  <c r="DI115" i="12"/>
  <c r="U115" i="12"/>
  <c r="F77" i="12"/>
  <c r="U85" i="12"/>
  <c r="G85" i="12" s="1"/>
  <c r="DM85" i="12"/>
  <c r="DI85" i="12"/>
  <c r="F85" i="12" s="1"/>
  <c r="DL85" i="12" s="1"/>
  <c r="U92" i="12"/>
  <c r="DI92" i="12"/>
  <c r="DI174" i="12"/>
  <c r="U174" i="12"/>
  <c r="U204" i="12"/>
  <c r="DI204" i="12"/>
  <c r="DI232" i="12"/>
  <c r="U232" i="12"/>
  <c r="S235" i="12" s="1"/>
  <c r="G235" i="12" s="1"/>
  <c r="G171" i="12"/>
  <c r="DS171" i="12"/>
  <c r="DL81" i="12"/>
  <c r="F81" i="12"/>
  <c r="S75" i="12"/>
  <c r="G75" i="12" s="1"/>
  <c r="DD73" i="12"/>
  <c r="G269" i="12" s="1"/>
  <c r="DS49" i="12"/>
  <c r="S58" i="12"/>
  <c r="G58" i="12" s="1"/>
  <c r="G49" i="12"/>
  <c r="DI153" i="12"/>
  <c r="U153" i="12"/>
  <c r="DR188" i="12"/>
  <c r="F188" i="12"/>
  <c r="G128" i="12"/>
  <c r="DM128" i="12"/>
  <c r="G143" i="12" s="1"/>
  <c r="G230" i="12"/>
  <c r="DS230" i="12"/>
  <c r="G211" i="12"/>
  <c r="DS211" i="12"/>
  <c r="DL114" i="12"/>
  <c r="F114" i="12"/>
  <c r="DI103" i="12"/>
  <c r="U103" i="12"/>
  <c r="DS100" i="12"/>
  <c r="G100" i="12"/>
  <c r="DR149" i="12"/>
  <c r="F149" i="12"/>
  <c r="F111" i="12"/>
  <c r="DR111" i="12"/>
  <c r="DR91" i="12"/>
  <c r="F91" i="12"/>
  <c r="DI82" i="12"/>
  <c r="F87" i="12" s="1"/>
  <c r="U82" i="12"/>
  <c r="U53" i="12"/>
  <c r="DI53" i="12"/>
  <c r="DI54" i="12"/>
  <c r="U54" i="12"/>
  <c r="U66" i="12"/>
  <c r="DI66" i="12"/>
  <c r="F71" i="12" s="1"/>
  <c r="DI129" i="12"/>
  <c r="U129" i="12"/>
  <c r="F191" i="12"/>
  <c r="DL191" i="12"/>
  <c r="G81" i="12"/>
  <c r="DM81" i="12"/>
  <c r="G65" i="12"/>
  <c r="DM65" i="12"/>
  <c r="G70" i="12" s="1"/>
  <c r="DS62" i="12"/>
  <c r="G62" i="12"/>
  <c r="F49" i="12"/>
  <c r="DR49" i="12"/>
  <c r="DR79" i="12"/>
  <c r="F79" i="12"/>
  <c r="DR202" i="12"/>
  <c r="F202" i="12"/>
  <c r="DL173" i="12"/>
  <c r="F173" i="12"/>
  <c r="DL128" i="12"/>
  <c r="F128" i="12"/>
  <c r="F78" i="12"/>
  <c r="DR78" i="12"/>
  <c r="G63" i="12"/>
  <c r="DS63" i="12"/>
  <c r="DI212" i="12"/>
  <c r="U212" i="12"/>
  <c r="F223" i="12"/>
  <c r="DR223" i="12"/>
  <c r="DR99" i="12"/>
  <c r="F99" i="12"/>
  <c r="DS152" i="12"/>
  <c r="G152" i="12"/>
  <c r="DR100" i="12"/>
  <c r="F100" i="12"/>
  <c r="G52" i="12"/>
  <c r="DM52" i="12"/>
  <c r="G57" i="12" s="1"/>
  <c r="G126" i="12"/>
  <c r="DS126" i="12"/>
  <c r="DS229" i="12"/>
  <c r="G229" i="12"/>
  <c r="F215" i="12"/>
  <c r="DL215" i="12" s="1"/>
  <c r="F216" i="12" s="1"/>
  <c r="G215" i="12"/>
  <c r="F195" i="12"/>
  <c r="DL195" i="12" s="1"/>
  <c r="G195" i="12"/>
  <c r="S198" i="12"/>
  <c r="G198" i="12" s="1"/>
  <c r="DI178" i="12"/>
  <c r="F178" i="12" s="1"/>
  <c r="DL178" i="12" s="1"/>
  <c r="DM178" i="12"/>
  <c r="U178" i="12"/>
  <c r="G178" i="12" s="1"/>
  <c r="F177" i="12"/>
  <c r="DL177" i="12" s="1"/>
  <c r="G177" i="12"/>
  <c r="M45" i="14"/>
  <c r="DI164" i="12"/>
  <c r="F164" i="12" s="1"/>
  <c r="DL164" i="12" s="1"/>
  <c r="DM164" i="12"/>
  <c r="U164" i="12"/>
  <c r="G164" i="12" s="1"/>
  <c r="DI160" i="12"/>
  <c r="F160" i="12" s="1"/>
  <c r="DL160" i="12" s="1"/>
  <c r="DM160" i="12"/>
  <c r="U160" i="12"/>
  <c r="G160" i="12" s="1"/>
  <c r="DI159" i="12"/>
  <c r="F159" i="12" s="1"/>
  <c r="DL159" i="12" s="1"/>
  <c r="DM159" i="12"/>
  <c r="U159" i="12"/>
  <c r="G159" i="12" s="1"/>
  <c r="DM158" i="12"/>
  <c r="U158" i="12"/>
  <c r="G158" i="12" s="1"/>
  <c r="DI158" i="12"/>
  <c r="F158" i="12" s="1"/>
  <c r="DL158" i="12" s="1"/>
  <c r="M66" i="14"/>
  <c r="DI157" i="12"/>
  <c r="F157" i="12" s="1"/>
  <c r="DL157" i="12" s="1"/>
  <c r="DM157" i="12"/>
  <c r="U157" i="12"/>
  <c r="G157" i="12" s="1"/>
  <c r="DM156" i="12"/>
  <c r="U156" i="12"/>
  <c r="G156" i="12" s="1"/>
  <c r="DI156" i="12"/>
  <c r="F156" i="12" s="1"/>
  <c r="DL156" i="12" s="1"/>
  <c r="G155" i="12"/>
  <c r="F155" i="12"/>
  <c r="DL155" i="12" s="1"/>
  <c r="F132" i="12"/>
  <c r="DL132" i="12" s="1"/>
  <c r="G132" i="12"/>
  <c r="DM118" i="12"/>
  <c r="U118" i="12"/>
  <c r="DI118" i="12"/>
  <c r="G105" i="12"/>
  <c r="G287" i="12"/>
  <c r="G278" i="12"/>
  <c r="DS14" i="11"/>
  <c r="G276" i="12"/>
  <c r="DI14" i="11"/>
  <c r="G279" i="12"/>
  <c r="DJ14" i="11"/>
  <c r="F105" i="12"/>
  <c r="DL105" i="12" s="1"/>
  <c r="F106" i="12" s="1"/>
  <c r="FO14" i="8"/>
  <c r="IJ14" i="8"/>
  <c r="FW14" i="8"/>
  <c r="AQ22" i="1"/>
  <c r="DJ14" i="8"/>
  <c r="IR14" i="8"/>
  <c r="FL14" i="8"/>
  <c r="IN14" i="8"/>
  <c r="FK14" i="8"/>
  <c r="EW14" i="8"/>
  <c r="FX14" i="8"/>
  <c r="AP22" i="1"/>
  <c r="DI14" i="8"/>
  <c r="DS14" i="8"/>
  <c r="GM32" i="1"/>
  <c r="GN32" i="1" s="1"/>
  <c r="GM68" i="1"/>
  <c r="GN68" i="1" s="1"/>
  <c r="GM64" i="1"/>
  <c r="GO64" i="1" s="1"/>
  <c r="CC73" i="1" s="1"/>
  <c r="CC22" i="1" s="1"/>
  <c r="GM66" i="1"/>
  <c r="GN66" i="1" s="1"/>
  <c r="CP56" i="1"/>
  <c r="O56" i="1" s="1"/>
  <c r="GM56" i="1" s="1"/>
  <c r="GN56" i="1" s="1"/>
  <c r="GM57" i="1"/>
  <c r="GN57" i="1" s="1"/>
  <c r="CP51" i="1"/>
  <c r="O51" i="1" s="1"/>
  <c r="GM51" i="1" s="1"/>
  <c r="GN51" i="1" s="1"/>
  <c r="CP50" i="1"/>
  <c r="O50" i="1" s="1"/>
  <c r="GM50" i="1" s="1"/>
  <c r="GN50" i="1" s="1"/>
  <c r="CP52" i="1"/>
  <c r="O52" i="1" s="1"/>
  <c r="GM52" i="1" s="1"/>
  <c r="GN52" i="1" s="1"/>
  <c r="CP49" i="1"/>
  <c r="O49" i="1" s="1"/>
  <c r="GM49" i="1" s="1"/>
  <c r="GN49" i="1" s="1"/>
  <c r="AE73" i="1"/>
  <c r="AE22" i="1" s="1"/>
  <c r="GM36" i="1"/>
  <c r="GN36" i="1" s="1"/>
  <c r="CP35" i="1"/>
  <c r="O35" i="1" s="1"/>
  <c r="GM34" i="1"/>
  <c r="GN34" i="1" s="1"/>
  <c r="AH73" i="1"/>
  <c r="AH22" i="1" s="1"/>
  <c r="AI73" i="1"/>
  <c r="V73" i="1" s="1"/>
  <c r="AD73" i="1"/>
  <c r="AD22" i="1" s="1"/>
  <c r="AG73" i="1"/>
  <c r="T73" i="1" s="1"/>
  <c r="GM31" i="1"/>
  <c r="GN31" i="1" s="1"/>
  <c r="CP30" i="1"/>
  <c r="O30" i="1" s="1"/>
  <c r="GM30" i="1" s="1"/>
  <c r="GN30" i="1" s="1"/>
  <c r="AX73" i="1"/>
  <c r="CM22" i="1"/>
  <c r="BD73" i="1"/>
  <c r="GM29" i="1"/>
  <c r="GN29" i="1" s="1"/>
  <c r="GM26" i="1"/>
  <c r="GN26" i="1" s="1"/>
  <c r="AZ73" i="1"/>
  <c r="AP103" i="1"/>
  <c r="F112" i="1" s="1"/>
  <c r="AQ103" i="1"/>
  <c r="AQ18" i="1" s="1"/>
  <c r="F83" i="1"/>
  <c r="F82" i="1"/>
  <c r="G16" i="2" s="1"/>
  <c r="G18" i="2" s="1"/>
  <c r="GM24" i="1"/>
  <c r="GN24" i="1" s="1"/>
  <c r="BC18" i="1"/>
  <c r="F119" i="1"/>
  <c r="BB18" i="1"/>
  <c r="F116" i="1"/>
  <c r="AJ73" i="1"/>
  <c r="CJ73" i="1"/>
  <c r="CP53" i="1"/>
  <c r="O53" i="1" s="1"/>
  <c r="GM53" i="1" s="1"/>
  <c r="GN53" i="1" s="1"/>
  <c r="CP59" i="1"/>
  <c r="O59" i="1" s="1"/>
  <c r="GM59" i="1" s="1"/>
  <c r="GN59" i="1" s="1"/>
  <c r="CZ35" i="1"/>
  <c r="Y35" i="1" s="1"/>
  <c r="AL73" i="1" s="1"/>
  <c r="CY35" i="1"/>
  <c r="X35" i="1" s="1"/>
  <c r="AK73" i="1" s="1"/>
  <c r="AF73" i="1"/>
  <c r="AO18" i="1"/>
  <c r="F107" i="1"/>
  <c r="AC73" i="1"/>
  <c r="S107" i="12" l="1"/>
  <c r="G107" i="12" s="1"/>
  <c r="F207" i="12"/>
  <c r="F198" i="12"/>
  <c r="F143" i="12"/>
  <c r="F197" i="12"/>
  <c r="S144" i="12"/>
  <c r="G144" i="12" s="1"/>
  <c r="F217" i="12"/>
  <c r="S95" i="12"/>
  <c r="G95" i="12" s="1"/>
  <c r="F144" i="12"/>
  <c r="G219" i="12"/>
  <c r="F107" i="12"/>
  <c r="S71" i="12"/>
  <c r="G71" i="12" s="1"/>
  <c r="G120" i="12"/>
  <c r="G184" i="12"/>
  <c r="G86" i="12"/>
  <c r="DS129" i="12"/>
  <c r="G129" i="12"/>
  <c r="G66" i="12"/>
  <c r="DS66" i="12"/>
  <c r="DS82" i="12"/>
  <c r="G82" i="12"/>
  <c r="G103" i="12"/>
  <c r="DS103" i="12"/>
  <c r="F204" i="12"/>
  <c r="DR204" i="12"/>
  <c r="DR174" i="12"/>
  <c r="F174" i="12"/>
  <c r="G205" i="12"/>
  <c r="DS205" i="12"/>
  <c r="DR233" i="12"/>
  <c r="F233" i="12"/>
  <c r="G192" i="12"/>
  <c r="DS192" i="12"/>
  <c r="G60" i="12"/>
  <c r="DR129" i="12"/>
  <c r="F129" i="12"/>
  <c r="DR53" i="12"/>
  <c r="F53" i="12"/>
  <c r="DR82" i="12"/>
  <c r="F82" i="12"/>
  <c r="DR103" i="12"/>
  <c r="F103" i="12"/>
  <c r="G153" i="12"/>
  <c r="DS153" i="12"/>
  <c r="G146" i="12" s="1"/>
  <c r="G232" i="12"/>
  <c r="DS232" i="12"/>
  <c r="G204" i="12"/>
  <c r="DS204" i="12"/>
  <c r="DS115" i="12"/>
  <c r="G115" i="12"/>
  <c r="S207" i="12"/>
  <c r="G207" i="12" s="1"/>
  <c r="F193" i="12"/>
  <c r="DR193" i="12"/>
  <c r="DS102" i="12"/>
  <c r="G97" i="12" s="1"/>
  <c r="G102" i="12"/>
  <c r="DS175" i="12"/>
  <c r="G175" i="12"/>
  <c r="G233" i="12"/>
  <c r="DS233" i="12"/>
  <c r="G130" i="12"/>
  <c r="DS130" i="12"/>
  <c r="G116" i="12"/>
  <c r="DS116" i="12"/>
  <c r="DS212" i="12"/>
  <c r="G212" i="12"/>
  <c r="F58" i="12"/>
  <c r="G54" i="12"/>
  <c r="DS54" i="12"/>
  <c r="DS53" i="12"/>
  <c r="G53" i="12"/>
  <c r="DR153" i="12"/>
  <c r="F153" i="12"/>
  <c r="F86" i="12"/>
  <c r="F232" i="12"/>
  <c r="DR232" i="12"/>
  <c r="DR92" i="12"/>
  <c r="F92" i="12"/>
  <c r="DR115" i="12"/>
  <c r="F115" i="12"/>
  <c r="F235" i="12"/>
  <c r="DS213" i="12"/>
  <c r="G213" i="12"/>
  <c r="G193" i="12"/>
  <c r="DS193" i="12"/>
  <c r="DR102" i="12"/>
  <c r="F102" i="12"/>
  <c r="DR175" i="12"/>
  <c r="F175" i="12"/>
  <c r="DR83" i="12"/>
  <c r="F83" i="12"/>
  <c r="DS67" i="12"/>
  <c r="G67" i="12"/>
  <c r="G187" i="12"/>
  <c r="G93" i="12"/>
  <c r="DS93" i="12"/>
  <c r="DR130" i="12"/>
  <c r="F130" i="12"/>
  <c r="DR116" i="12"/>
  <c r="F116" i="12"/>
  <c r="DZ14" i="8"/>
  <c r="DZ14" i="11"/>
  <c r="S217" i="12"/>
  <c r="G217" i="12" s="1"/>
  <c r="DR212" i="12"/>
  <c r="F212" i="12"/>
  <c r="DR66" i="12"/>
  <c r="F66" i="12"/>
  <c r="F54" i="12"/>
  <c r="DR54" i="12"/>
  <c r="F95" i="12"/>
  <c r="DS174" i="12"/>
  <c r="G168" i="12" s="1"/>
  <c r="G174" i="12"/>
  <c r="G92" i="12"/>
  <c r="DS92" i="12"/>
  <c r="G89" i="12" s="1"/>
  <c r="F205" i="12"/>
  <c r="DR205" i="12"/>
  <c r="S87" i="12"/>
  <c r="G87" i="12" s="1"/>
  <c r="DR213" i="12"/>
  <c r="F213" i="12"/>
  <c r="G83" i="12"/>
  <c r="DS83" i="12"/>
  <c r="F67" i="12"/>
  <c r="DR67" i="12"/>
  <c r="F192" i="12"/>
  <c r="DR192" i="12"/>
  <c r="F93" i="12"/>
  <c r="DR93" i="12"/>
  <c r="S185" i="12"/>
  <c r="G185" i="12" s="1"/>
  <c r="F185" i="12"/>
  <c r="F184" i="12"/>
  <c r="IK2" i="1"/>
  <c r="S166" i="12"/>
  <c r="G166" i="12" s="1"/>
  <c r="G165" i="12"/>
  <c r="F166" i="12"/>
  <c r="F165" i="12"/>
  <c r="F121" i="12"/>
  <c r="F118" i="12"/>
  <c r="DL118" i="12" s="1"/>
  <c r="F120" i="12" s="1"/>
  <c r="S121" i="12"/>
  <c r="G121" i="12" s="1"/>
  <c r="G118" i="12"/>
  <c r="DK14" i="11"/>
  <c r="G280" i="12"/>
  <c r="DG14" i="11"/>
  <c r="G266" i="12"/>
  <c r="DL14" i="8"/>
  <c r="DL14" i="11"/>
  <c r="D307" i="12"/>
  <c r="CX14" i="11"/>
  <c r="EU14" i="11"/>
  <c r="EX14" i="8"/>
  <c r="GB14" i="8"/>
  <c r="AX22" i="1"/>
  <c r="DG14" i="8"/>
  <c r="AZ103" i="1"/>
  <c r="AZ18" i="1" s="1"/>
  <c r="DK14" i="8"/>
  <c r="CX14" i="8"/>
  <c r="EU14" i="8"/>
  <c r="AT73" i="1"/>
  <c r="R73" i="1"/>
  <c r="U73" i="1"/>
  <c r="Q73" i="1"/>
  <c r="AI22" i="1"/>
  <c r="AG22" i="1"/>
  <c r="AX103" i="1"/>
  <c r="F110" i="1" s="1"/>
  <c r="F80" i="1"/>
  <c r="BD103" i="1"/>
  <c r="BD22" i="1"/>
  <c r="F98" i="1"/>
  <c r="F113" i="1"/>
  <c r="AZ22" i="1"/>
  <c r="F84" i="1"/>
  <c r="AP18" i="1"/>
  <c r="CB73" i="1"/>
  <c r="AL22" i="1"/>
  <c r="Y73" i="1"/>
  <c r="CJ22" i="1"/>
  <c r="BA73" i="1"/>
  <c r="AK22" i="1"/>
  <c r="X73" i="1"/>
  <c r="AJ22" i="1"/>
  <c r="W73" i="1"/>
  <c r="V22" i="1"/>
  <c r="F96" i="1"/>
  <c r="V103" i="1"/>
  <c r="GM35" i="1"/>
  <c r="AB73" i="1"/>
  <c r="T22" i="1"/>
  <c r="F94" i="1"/>
  <c r="T103" i="1"/>
  <c r="AC22" i="1"/>
  <c r="CH73" i="1"/>
  <c r="P73" i="1"/>
  <c r="CE73" i="1"/>
  <c r="CF73" i="1"/>
  <c r="AF22" i="1"/>
  <c r="S73" i="1"/>
  <c r="G109" i="12" l="1"/>
  <c r="G200" i="12"/>
  <c r="G77" i="12"/>
  <c r="G123" i="12"/>
  <c r="G209" i="12"/>
  <c r="G47" i="12"/>
  <c r="G227" i="12"/>
  <c r="IH14" i="8"/>
  <c r="II14" i="8"/>
  <c r="FN14" i="8"/>
  <c r="Q237" i="12"/>
  <c r="G274" i="12"/>
  <c r="DO14" i="11"/>
  <c r="DN14" i="11"/>
  <c r="G273" i="12"/>
  <c r="ET14" i="11"/>
  <c r="F39" i="12"/>
  <c r="D306" i="12"/>
  <c r="CW14" i="11"/>
  <c r="G300" i="12"/>
  <c r="DC14" i="11"/>
  <c r="G242" i="12"/>
  <c r="F38" i="12"/>
  <c r="CZ14" i="11"/>
  <c r="G271" i="12"/>
  <c r="DM14" i="8"/>
  <c r="DM14" i="11"/>
  <c r="AT103" i="1"/>
  <c r="AT18" i="1" s="1"/>
  <c r="G286" i="12"/>
  <c r="DR14" i="11"/>
  <c r="DW14" i="8"/>
  <c r="DW14" i="11"/>
  <c r="G260" i="12"/>
  <c r="DA14" i="11"/>
  <c r="G262" i="12"/>
  <c r="DB14" i="11"/>
  <c r="GE14" i="8"/>
  <c r="FR14" i="8"/>
  <c r="F114" i="1"/>
  <c r="U22" i="1"/>
  <c r="CW14" i="8"/>
  <c r="ET14" i="8"/>
  <c r="CZ14" i="8"/>
  <c r="DO14" i="8"/>
  <c r="AT22" i="1"/>
  <c r="DR14" i="8"/>
  <c r="DN14" i="8"/>
  <c r="DC14" i="8"/>
  <c r="Q103" i="1"/>
  <c r="F115" i="1" s="1"/>
  <c r="DA14" i="8"/>
  <c r="F87" i="1"/>
  <c r="DB14" i="8"/>
  <c r="F91" i="1"/>
  <c r="F16" i="2" s="1"/>
  <c r="F18" i="2" s="1"/>
  <c r="R103" i="1"/>
  <c r="F117" i="1" s="1"/>
  <c r="R22" i="1"/>
  <c r="F85" i="1"/>
  <c r="IM14" i="8"/>
  <c r="EV14" i="8"/>
  <c r="Q22" i="1"/>
  <c r="F95" i="1"/>
  <c r="U103" i="1"/>
  <c r="U18" i="1" s="1"/>
  <c r="AX18" i="1"/>
  <c r="F128" i="1"/>
  <c r="BD18" i="1"/>
  <c r="BA22" i="1"/>
  <c r="F93" i="1"/>
  <c r="BA103" i="1"/>
  <c r="AB22" i="1"/>
  <c r="O73" i="1"/>
  <c r="GP35" i="1"/>
  <c r="CD73" i="1" s="1"/>
  <c r="CA73" i="1"/>
  <c r="CF22" i="1"/>
  <c r="AW73" i="1"/>
  <c r="V18" i="1"/>
  <c r="F126" i="1"/>
  <c r="CE22" i="1"/>
  <c r="AV73" i="1"/>
  <c r="T18" i="1"/>
  <c r="F124" i="1"/>
  <c r="P22" i="1"/>
  <c r="F76" i="1"/>
  <c r="P103" i="1"/>
  <c r="CH22" i="1"/>
  <c r="AY73" i="1"/>
  <c r="W22" i="1"/>
  <c r="F97" i="1"/>
  <c r="W103" i="1"/>
  <c r="Y22" i="1"/>
  <c r="Y103" i="1"/>
  <c r="F100" i="1"/>
  <c r="S22" i="1"/>
  <c r="S103" i="1"/>
  <c r="F88" i="1"/>
  <c r="X22" i="1"/>
  <c r="X103" i="1"/>
  <c r="F99" i="1"/>
  <c r="CB22" i="1"/>
  <c r="AS73" i="1"/>
  <c r="R18" i="1" l="1"/>
  <c r="Q18" i="1"/>
  <c r="DH14" i="11"/>
  <c r="G267" i="12"/>
  <c r="G303" i="12"/>
  <c r="DE14" i="11"/>
  <c r="DF14" i="11"/>
  <c r="G265" i="12"/>
  <c r="G263" i="12"/>
  <c r="CY14" i="8"/>
  <c r="CY14" i="11"/>
  <c r="G240" i="12"/>
  <c r="G285" i="12"/>
  <c r="DQ14" i="11"/>
  <c r="G290" i="12"/>
  <c r="G292" i="12" s="1"/>
  <c r="G293" i="12" s="1"/>
  <c r="DU14" i="11"/>
  <c r="F121" i="1"/>
  <c r="FM14" i="8"/>
  <c r="EZ14" i="8"/>
  <c r="FQ14" i="8"/>
  <c r="FB14" i="8"/>
  <c r="IF14" i="8"/>
  <c r="GG14" i="8"/>
  <c r="FC14" i="8"/>
  <c r="FE14" i="8"/>
  <c r="J16" i="2"/>
  <c r="J18" i="2" s="1"/>
  <c r="DE14" i="8"/>
  <c r="DF14" i="8"/>
  <c r="DQ14" i="8"/>
  <c r="DU14" i="8"/>
  <c r="DH14" i="8"/>
  <c r="F125" i="1"/>
  <c r="CA22" i="1"/>
  <c r="AR73" i="1"/>
  <c r="O22" i="1"/>
  <c r="F75" i="1"/>
  <c r="O103" i="1"/>
  <c r="CD22" i="1"/>
  <c r="AU73" i="1"/>
  <c r="X18" i="1"/>
  <c r="F129" i="1"/>
  <c r="Y18" i="1"/>
  <c r="F130" i="1"/>
  <c r="BA18" i="1"/>
  <c r="F123" i="1"/>
  <c r="AS22" i="1"/>
  <c r="AS103" i="1"/>
  <c r="F90" i="1"/>
  <c r="E16" i="2" s="1"/>
  <c r="S18" i="1"/>
  <c r="F118" i="1"/>
  <c r="AY22" i="1"/>
  <c r="AY103" i="1"/>
  <c r="F81" i="1"/>
  <c r="P18" i="1"/>
  <c r="F106" i="1"/>
  <c r="W18" i="1"/>
  <c r="F127" i="1"/>
  <c r="AV22" i="1"/>
  <c r="F78" i="1"/>
  <c r="AV103" i="1"/>
  <c r="AW22" i="1"/>
  <c r="F79" i="1"/>
  <c r="AW103" i="1"/>
  <c r="G295" i="12" l="1"/>
  <c r="E26" i="12" s="1"/>
  <c r="G283" i="12"/>
  <c r="IK8" i="1"/>
  <c r="DP14" i="11"/>
  <c r="G237" i="12"/>
  <c r="DT14" i="11"/>
  <c r="G288" i="12"/>
  <c r="DP14" i="8"/>
  <c r="DT14" i="8"/>
  <c r="O18" i="1"/>
  <c r="F105" i="1"/>
  <c r="AV18" i="1"/>
  <c r="F108" i="1"/>
  <c r="E18" i="2"/>
  <c r="AS18" i="1"/>
  <c r="F120" i="1"/>
  <c r="AY18" i="1"/>
  <c r="F111" i="1"/>
  <c r="AR22" i="1"/>
  <c r="AR103" i="1"/>
  <c r="F101" i="1"/>
  <c r="AW18" i="1"/>
  <c r="F109" i="1"/>
  <c r="AU22" i="1"/>
  <c r="F92" i="1"/>
  <c r="H16" i="2" s="1"/>
  <c r="H18" i="2" s="1"/>
  <c r="AU103" i="1"/>
  <c r="F37" i="12" l="1"/>
  <c r="G296" i="12"/>
  <c r="G297" i="12" s="1"/>
  <c r="AU18" i="1"/>
  <c r="F122" i="1"/>
  <c r="AR18" i="1"/>
  <c r="F131" i="1"/>
  <c r="I16" i="2"/>
  <c r="I18" i="2" s="1"/>
</calcChain>
</file>

<file path=xl/comments1.xml><?xml version="1.0" encoding="utf-8"?>
<comments xmlns="http://schemas.openxmlformats.org/spreadsheetml/2006/main">
  <authors>
    <author>Мамаева Екатерина Магомедовна</author>
  </authors>
  <commentList>
    <comment ref="C11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Мамаева Екатерина Магомедовна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Мамаева Екатерина Магомедовна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Мамаева Екатерина Магомедовна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5.xml><?xml version="1.0" encoding="utf-8"?>
<comments xmlns="http://schemas.openxmlformats.org/spreadsheetml/2006/main">
  <authors>
    <author>Мамаева Екатерина Магомедовна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F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237" authorId="0" shapeId="0">
      <text>
        <r>
          <rPr>
            <sz val="9"/>
            <color indexed="81"/>
            <rFont val="Tahoma"/>
            <family val="2"/>
            <charset val="204"/>
          </rPr>
          <t>Наружные сети ливневой канализации К-2</t>
        </r>
      </text>
    </comment>
    <comment ref="G263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G268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G269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G276" authorId="0" shapeId="0">
      <text>
        <r>
          <rPr>
            <sz val="9"/>
            <color indexed="81"/>
            <rFont val="Tahoma"/>
            <family val="2"/>
            <charset val="204"/>
          </rPr>
          <t>С учетом дополнительных затрат на перевозку (при их наличии)</t>
        </r>
      </text>
    </comment>
    <comment ref="G281" authorId="0" shapeId="0">
      <text>
        <r>
          <rPr>
            <sz val="9"/>
            <color indexed="81"/>
            <rFont val="Tahoma"/>
            <family val="2"/>
            <charset val="204"/>
          </rPr>
          <t>В том числе погрузо-разгрузочные работы (при их наличии)</t>
        </r>
      </text>
    </comment>
    <comment ref="C3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F3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3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F3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comments6.xml><?xml version="1.0" encoding="utf-8"?>
<comments xmlns="http://schemas.openxmlformats.org/spreadsheetml/2006/main">
  <authors>
    <author>Мамаева Екатерина Магомедовна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</commentList>
</comments>
</file>

<file path=xl/sharedStrings.xml><?xml version="1.0" encoding="utf-8"?>
<sst xmlns="http://schemas.openxmlformats.org/spreadsheetml/2006/main" count="6356" uniqueCount="725">
  <si>
    <t>Smeta.RU  (495) 974-1589</t>
  </si>
  <si>
    <t>_PS_</t>
  </si>
  <si>
    <t>Smeta.RU</t>
  </si>
  <si>
    <t>ООО "ОДСК"  Доп. раб. место  FStS-0028762</t>
  </si>
  <si>
    <t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t>
  </si>
  <si>
    <t>6.3.5   Устройство внутриплощ. наружных сетей ливневой канализации П</t>
  </si>
  <si>
    <t/>
  </si>
  <si>
    <t>Сметные нормы списания</t>
  </si>
  <si>
    <t>Коды ценников</t>
  </si>
  <si>
    <t>ФЕР  2020 года (421пр + 557пр построчно) НОВОЕ СТРОИТЕЛЬСТВО</t>
  </si>
  <si>
    <t>Версия 1.7.3 ГСН (ГЭСН, ФЕР) и ТЕР (Методики НР (812/пр, 636/пр, 611/пр) и СП (774/пр и 317/пр) применять с 08.01.2023 г.)</t>
  </si>
  <si>
    <t>ФЕР-2020 с Изм.9 от 2021.12.20</t>
  </si>
  <si>
    <t>Поправки для базы ФЕР-2020 И9 от 2023.11.21 (в ред. 557/пр+648/пр) Новое строительство</t>
  </si>
  <si>
    <t>ГСН</t>
  </si>
  <si>
    <t>6.3.5</t>
  </si>
  <si>
    <t>Наружные сети ливневой канализации К-2</t>
  </si>
  <si>
    <t>1</t>
  </si>
  <si>
    <t>01-01-013-08</t>
  </si>
  <si>
    <t>Разработка грунта с погрузкой на автомобили-самосвалы экскаваторами с ковшом вместимостью: 0,65 (0,5-1) м3, группа грунтов 2/мокрый грунт</t>
  </si>
  <si>
    <t>1000 м3</t>
  </si>
  <si>
    <t>ФЕР-2001, 01-01-013-08, приказ Минстроя России № 876/пр от 26.12.2019</t>
  </si>
  <si>
    <t>Поправка: Прил. 1.12, п.3. 46 Наименование: Разработка вязких грунтов повышенной влажности, сильно налипающих на стенки и зубья ковша одноковшовых экскаваторов (кроме грунтов 5-6 группы)</t>
  </si>
  <si>
    <t>*1,1</t>
  </si>
  <si>
    <t>Общестроительные работы</t>
  </si>
  <si>
    <t>Земляные работы</t>
  </si>
  <si>
    <t>Земляные работы, выполняемые: механизированным способом</t>
  </si>
  <si>
    <t>ФЕР-01</t>
  </si>
  <si>
    <t>Поправка: Прил. 1.12, п.3. 46</t>
  </si>
  <si>
    <t>Пр/812-001.1-1</t>
  </si>
  <si>
    <t>Пр/774-001.1</t>
  </si>
  <si>
    <t>1,1</t>
  </si>
  <si>
    <t>02.2.05.04-1777</t>
  </si>
  <si>
    <t>Щебень М 800, фракция 20-40 мм, группа 2</t>
  </si>
  <si>
    <t>м3</t>
  </si>
  <si>
    <t>ФССЦ-2001, 02.2.05.04-1777, приказ Минстроя России № 876/пр от 26.12.2019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</si>
  <si>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</si>
  <si>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</si>
  <si>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</si>
  <si>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2</t>
  </si>
  <si>
    <t>Разработка грунта с погрузкой на автомобили-самосвалы экскаваторами с ковшом вместимостью: 0,65 (0,5-1) м3, группа грунтов 2</t>
  </si>
  <si>
    <t>2,1</t>
  </si>
  <si>
    <t>3</t>
  </si>
  <si>
    <t>т03-21-01-001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</si>
  <si>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</si>
  <si>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</si>
  <si>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ФССЦпг-2001, т03-21-01-001, приказ Минстроя России №876/пр от 26.12.2019</t>
  </si>
  <si>
    <t>Автомобили-самосвалы</t>
  </si>
  <si>
    <t>Перевозка строительных грузов автомобильным транспортом</t>
  </si>
  <si>
    <t>Перевозка строительных грузов автомобильным транспортом: Автомобили-самосвалы</t>
  </si>
  <si>
    <t>ФССЦпг 03-21, 03-22</t>
  </si>
  <si>
    <t>4</t>
  </si>
  <si>
    <t>01-01-016-02</t>
  </si>
  <si>
    <t>Работа на отвале, группа грунтов: 2-3</t>
  </si>
  <si>
    <t>ФЕР-2001, 01-01-016-02, приказ Минстроя России № 876/пр от 26.12.2019</t>
  </si>
  <si>
    <t>4,1</t>
  </si>
  <si>
    <t>5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</si>
  <si>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</si>
  <si>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</si>
  <si>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</si>
  <si>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ФЕР-2001, 01-02-057-02, приказ Минстроя России № 876/пр от 26.12.2019</t>
  </si>
  <si>
    <t>)*1,2)*1,15</t>
  </si>
  <si>
    <t>Земляные работы, выполняемые: ручным способом</t>
  </si>
  <si>
    <t>Поправка: Прил. 1.12, п.3.187. Поправка: Прил. 1.12, п.3.184.</t>
  </si>
  <si>
    <t>Пр/812-001.2-1</t>
  </si>
  <si>
    <t>Пр/774-001.2</t>
  </si>
  <si>
    <t>6</t>
  </si>
  <si>
    <t>23-01-001-01</t>
  </si>
  <si>
    <t>Устройство основания под трубопроводы: песчаного</t>
  </si>
  <si>
    <t>10 м3</t>
  </si>
  <si>
    <t>ФЕР-2001, 23-01-001-01, приказ Минстроя России № 876/пр от 26.12.2019</t>
  </si>
  <si>
    <t>Наружные сети водопровода, канализации, теплоснабжения, газопроводы</t>
  </si>
  <si>
    <t>ФЕР-23</t>
  </si>
  <si>
    <t>Пр/812-018.0-1</t>
  </si>
  <si>
    <t>Пр/774-018.0</t>
  </si>
  <si>
    <t>6,1</t>
  </si>
  <si>
    <t>02.3.01.02-0016</t>
  </si>
  <si>
    <t>Песок природный для строительных: работ средний с крупностью зерен размером свыше 5 мм - до 5% по массе</t>
  </si>
  <si>
    <t>ФССЦ-2001, 02.3.01.02-0016, приказ Минстроя России № 876/пр от 26.12.2019</t>
  </si>
  <si>
    <t>7</t>
  </si>
  <si>
    <t>23-01-020-04</t>
  </si>
  <si>
    <t>Укладка канализационных безнапорных раструбных труб из поливинилхлорида (ПВХ) диаметром: 315 мм</t>
  </si>
  <si>
    <t>100 м</t>
  </si>
  <si>
    <t>ФЕР-2001 доп. 2, 23-01-020-04, приказ Минстроя России № 294/пр от 01.06.2020</t>
  </si>
  <si>
    <t>7,1</t>
  </si>
  <si>
    <t>Прайс</t>
  </si>
  <si>
    <t>Труба полиэтиленовая с двухслойной профилированной стенкой "КОРСИС" DN/ID 300  SN8</t>
  </si>
  <si>
    <t>м</t>
  </si>
  <si>
    <t>Строка по умолчанию</t>
  </si>
  <si>
    <t>Прочие работы</t>
  </si>
  <si>
    <t>по умолчанию</t>
  </si>
  <si>
    <t>1 306,25 +  2% Заг.скл</t>
  </si>
  <si>
    <t>0</t>
  </si>
  <si>
    <t>8</t>
  </si>
  <si>
    <t>23-03-001-04</t>
  </si>
  <si>
    <t>Устройство круглых сборных железобетонных канализационных колодцев диаметром: 1 м в мокрых грунтах</t>
  </si>
  <si>
    <t>ФЕР-2001 доп.4, 23-03-001-04, приказ Минстроя России № 636/пр от 20.10.2020</t>
  </si>
  <si>
    <t>8,1</t>
  </si>
  <si>
    <t>05.1.01.11-0044</t>
  </si>
  <si>
    <t>Плита днища ПН10, бетон В15 (М200), объем 0,18 м3, расход арматуры 15,14 кг</t>
  </si>
  <si>
    <t>ШТ</t>
  </si>
  <si>
    <t>ФССЦ-2001, 05.1.01.11-0044, приказ Минстроя России № 876/пр от 26.12.2019</t>
  </si>
  <si>
    <t>8,2</t>
  </si>
  <si>
    <t>04.1.02.05-0006</t>
  </si>
  <si>
    <t>Смеси бетонные тяжелого бетона (БСТ), класс В15 (М200)</t>
  </si>
  <si>
    <t>ФССЦ-2001, 04.1.02.05-0006, приказ Минстроя России № 876/пр от 26.12.2019</t>
  </si>
  <si>
    <t>8,3</t>
  </si>
  <si>
    <t>8,4</t>
  </si>
  <si>
    <t>05.1.01.09-0056</t>
  </si>
  <si>
    <t>Кольцо стеновое смотровых колодцев КС10.9, бетон В15 (М200), объем 0,24 м3, расход арматуры 5,66 кг</t>
  </si>
  <si>
    <t>ФССЦ-2001, 05.1.01.09-0056, приказ Минстроя России № 876/пр от 26.12.2019</t>
  </si>
  <si>
    <t>8,5</t>
  </si>
  <si>
    <t>05.1.01.09-0054</t>
  </si>
  <si>
    <t>Кольцо стеновое смотровых колодцев КС10.3, бетон В15 (М200), объем 0,08 м3, расход арматуры 1,96 кг</t>
  </si>
  <si>
    <t>ФССЦ-2001, 05.1.01.09-0054, приказ Минстроя России № 876/пр от 26.12.2019</t>
  </si>
  <si>
    <t>8,6</t>
  </si>
  <si>
    <t>05.1.06.09-0088</t>
  </si>
  <si>
    <t>Плиты перекрытия ПП10-2, бетон B15, объем 0,10 м3, расход арматуры 16,65 кг</t>
  </si>
  <si>
    <t>ФССЦ-2001, 05.1.06.09-0088, приказ Минстроя России № 876/пр от 26.12.2019</t>
  </si>
  <si>
    <t>8,7</t>
  </si>
  <si>
    <t>05.1.01.09-0051</t>
  </si>
  <si>
    <t>Кольцо стеновое смотровых колодцев КС7.3, бетон В15 (М200), объем 0,05 м3, расход арматуры 1,64 кг</t>
  </si>
  <si>
    <t>ФССЦ-2001, 05.1.01.09-0051, приказ Минстроя России № 876/пр от 26.12.2019</t>
  </si>
  <si>
    <t>8,8</t>
  </si>
  <si>
    <t>05.1.01.09-0042</t>
  </si>
  <si>
    <t>Кольцо опорное КО-6 /бетон В15 (М200), объем 0,02 м3, расход арматуры 1,10 кг</t>
  </si>
  <si>
    <t>ФССЦ-2001, 05.1.01.09-0042, приказ Минстроя России № 876/пр от 26.12.2019</t>
  </si>
  <si>
    <t>8,9</t>
  </si>
  <si>
    <t>07.2.05.01-0032</t>
  </si>
  <si>
    <t>Ограждения лестничных проемов, лестничные марши, пожарные лестницы</t>
  </si>
  <si>
    <t>т</t>
  </si>
  <si>
    <t>ФССЦ-2001, 07.2.05.01-0032, приказ Минстроя России № 876/пр от 26.12.2019</t>
  </si>
  <si>
    <t>8,10</t>
  </si>
  <si>
    <t>08.1.02.06-0033</t>
  </si>
  <si>
    <t>Люк чугунный тяжелый (ГОСТ 3634-99) марка Т(С250)-К-1-60</t>
  </si>
  <si>
    <t>ФССЦ-2001, 08.1.02.06-0033, приказ Минстроя России № 876/пр от 26.12.2019</t>
  </si>
  <si>
    <t>10 829,17 +  3,1% Трансп +  2% Заг.скл</t>
  </si>
  <si>
    <t>3,1</t>
  </si>
  <si>
    <t>9</t>
  </si>
  <si>
    <t>23-03-001-06</t>
  </si>
  <si>
    <t>Устройство круглых сборных железобетонных канализационных колодцев диаметром: 1,5 м в мокрых грунтах</t>
  </si>
  <si>
    <t>ФЕР-2001 доп.4, 23-03-001-06, приказ Минстроя России № 636/пр от 20.10.2020</t>
  </si>
  <si>
    <t>9,1</t>
  </si>
  <si>
    <t>05.1.01.09-0065</t>
  </si>
  <si>
    <t>Кольцо стеновое смотровых колодцев КС15.9, бетон В15 (М200), объем 0,40 м3, расход арматуры 7,02 кг</t>
  </si>
  <si>
    <t>ФССЦ-2001, 05.1.01.09-0065, приказ Минстроя России № 876/пр от 26.12.2019</t>
  </si>
  <si>
    <t>9,2</t>
  </si>
  <si>
    <t>05.1.01.09-0063</t>
  </si>
  <si>
    <t>Кольцо стеновое смотровых колодцев КС15.6, бетон В15 (М200), объем 0,265 м3, расход арматуры 4,94 кг</t>
  </si>
  <si>
    <t>ФССЦ-2001, 05.1.01.09-0063, приказ Минстроя России № 876/пр от 26.12.2019</t>
  </si>
  <si>
    <t>9,3</t>
  </si>
  <si>
    <t>05.1.01.11-0045</t>
  </si>
  <si>
    <t>Плита днища ПН15, бетон В15 (М200), объем 0,38 м3, расход арматуры 33,13 кг</t>
  </si>
  <si>
    <t>ФССЦ-2001, 05.1.01.11-0045, приказ Минстроя России № 876/пр от 26.12.2019</t>
  </si>
  <si>
    <t>9,4</t>
  </si>
  <si>
    <t>9,5</t>
  </si>
  <si>
    <t>05.1.01.09-0031</t>
  </si>
  <si>
    <t>Кольца горловин колодцев, ОК 7.2</t>
  </si>
  <si>
    <t>ФССЦ-2001, 05.1.01.09-0031, приказ Минстроя России № 876/пр от 26.12.2019</t>
  </si>
  <si>
    <t>9,6</t>
  </si>
  <si>
    <t>9,7</t>
  </si>
  <si>
    <t>9,8</t>
  </si>
  <si>
    <t>9,9</t>
  </si>
  <si>
    <t>10</t>
  </si>
  <si>
    <t>23-03-007-04</t>
  </si>
  <si>
    <t>Устройство круглых дождеприемных колодцев для дождевой канализации: из сборного железобетона диаметром 1,0 м в мокрых грунтах</t>
  </si>
  <si>
    <t>ФЕР-2001 доп.4, 23-03-007-04, приказ Минстроя России № 636/пр от 20.10.2020</t>
  </si>
  <si>
    <t>10,1</t>
  </si>
  <si>
    <t>10,2</t>
  </si>
  <si>
    <t>05.1.01.09-0057</t>
  </si>
  <si>
    <t>Кольцо стеновое смотровых колодцев КС10.9А, бетон В15 (М200), объем 0,22 м3, расход арматуры 14,76 кг</t>
  </si>
  <si>
    <t>ФССЦ-2001, 05.1.01.09-0057, приказ Минстроя России № 876/пр от 26.12.2019</t>
  </si>
  <si>
    <t>10,3</t>
  </si>
  <si>
    <t>05.1.01.13-0062</t>
  </si>
  <si>
    <t>Плита покрытий и днищ круглая сборная железобетонная/КЦП 3-10=11шт</t>
  </si>
  <si>
    <t>ФССЦ-2001, 05.1.01.13-0062, приказ Минстроя России № 876/пр от 26.12.2019</t>
  </si>
  <si>
    <t>10,4</t>
  </si>
  <si>
    <t>08.1.02.06-0042</t>
  </si>
  <si>
    <t>Люк чугунный с решеткой для дождеприемного колодца ЛР</t>
  </si>
  <si>
    <t>ФССЦ-2001, 08.1.02.06-0042, приказ Минстроя России № 876/пр от 26.12.2019</t>
  </si>
  <si>
    <t>[9 583,33 / 1,2] +  3,1% Трансп +  2% Заг.скл</t>
  </si>
  <si>
    <t>10,5</t>
  </si>
  <si>
    <t>10,6</t>
  </si>
  <si>
    <t>11</t>
  </si>
  <si>
    <t>м37-01-001-04</t>
  </si>
  <si>
    <t>Монтаж сосудов и аппаратов без механизмов на открытой площадке, масса сосудов и аппаратов: 0,5 т</t>
  </si>
  <si>
    <t>ФЕРм-2001, м37-01-001-04, приказ Минстроя России № 876/пр от 26.12.2019</t>
  </si>
  <si>
    <t>Монтажные работы</t>
  </si>
  <si>
    <t>Оборудование общего назначения</t>
  </si>
  <si>
    <t>мФЕР-37</t>
  </si>
  <si>
    <t>Пр/812-079.0-1</t>
  </si>
  <si>
    <t>Пр/774-079.0</t>
  </si>
  <si>
    <t>11,1</t>
  </si>
  <si>
    <t>Фильтр-патрон ФОПС-МУ-1,0-1,8</t>
  </si>
  <si>
    <t>шт.</t>
  </si>
  <si>
    <t>98 280 +  3,1% Трансп +  2% Заг.скл</t>
  </si>
  <si>
    <t>12</t>
  </si>
  <si>
    <t>22-06-002-08</t>
  </si>
  <si>
    <t>Промывка без дезинфекции трубопроводов диаметром: 300 мм</t>
  </si>
  <si>
    <t>км</t>
  </si>
  <si>
    <t>ФЕР-2001, 22-06-002-08, приказ Минстроя России № 876/пр от 26.12.2019</t>
  </si>
  <si>
    <t>ФЕР-22</t>
  </si>
  <si>
    <t>13</t>
  </si>
  <si>
    <t>23-04-008-02</t>
  </si>
  <si>
    <t>Присоединение канализационных трубопроводов к существующей сети в грунтах: мокрых</t>
  </si>
  <si>
    <t>ФЕР-2001, 23-04-008-02, приказ Минстроя России № 876/пр от 26.12.2019</t>
  </si>
  <si>
    <t>14</t>
  </si>
  <si>
    <t>01-02-061-01</t>
  </si>
  <si>
    <t>Засыпка вручную траншей, пазух котлованов и ям, группа грунтов: 1</t>
  </si>
  <si>
    <t>ФЕР-2001, 01-02-061-01, приказ Минстроя России № 876/пр от 26.12.2019</t>
  </si>
  <si>
    <t>14,1</t>
  </si>
  <si>
    <t>15</t>
  </si>
  <si>
    <t>01-01-033-02</t>
  </si>
  <si>
    <t>Засыпка траншей и котлованов с перемещением грунта до 5 м бульдозерами мощностью: 59 кВт (80 л.с.), группа грунтов 2</t>
  </si>
  <si>
    <t>ФЕР-2001, 01-01-033-02, приказ Минстроя России № 876/пр от 26.12.2019</t>
  </si>
  <si>
    <t>16</t>
  </si>
  <si>
    <t>01-02-005-01</t>
  </si>
  <si>
    <t>Уплотнение грунта пневматическими трамбовками, группа грунтов: 1-2</t>
  </si>
  <si>
    <t>ФЕР-2001, 01-02-005-01, приказ Минстроя России № 876/пр от 26.12.2019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</si>
  <si>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</si>
  <si>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</si>
  <si>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</si>
  <si>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</si>
  <si>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</si>
  <si>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</si>
  <si>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</si>
  <si>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</si>
  <si>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</si>
  <si>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</si>
  <si>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</si>
  <si>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</si>
  <si>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</si>
  <si>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</si>
  <si>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</si>
  <si>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</si>
  <si>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</si>
  <si>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</si>
  <si>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</si>
  <si>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</si>
  <si>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</si>
  <si>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</si>
  <si>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</si>
  <si>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</si>
  <si>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</si>
  <si>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</si>
  <si>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</si>
  <si>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</si>
  <si>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</si>
  <si>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</si>
  <si>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</si>
  <si>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</si>
  <si>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</si>
  <si>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</si>
  <si>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</si>
  <si>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</si>
  <si>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</si>
  <si>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</si>
  <si>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</si>
  <si>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</si>
  <si>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</si>
  <si>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</si>
  <si>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</si>
  <si>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</si>
  <si>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</si>
  <si>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</si>
  <si>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</si>
  <si>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</si>
  <si>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</si>
  <si>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</si>
  <si>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</si>
  <si>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</si>
  <si>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</si>
  <si>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</si>
  <si>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</si>
  <si>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</si>
  <si>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</si>
  <si>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</si>
  <si>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</si>
  <si>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</si>
  <si>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</si>
  <si>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</si>
  <si>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</si>
  <si>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</si>
  <si>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</si>
  <si>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</si>
  <si>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</si>
  <si>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</si>
  <si>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</si>
  <si>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</si>
  <si>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</si>
  <si>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</si>
  <si>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</si>
  <si>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</si>
  <si>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</si>
  <si>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</si>
  <si>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</si>
  <si>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</si>
  <si>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</si>
  <si>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</si>
  <si>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</si>
  <si>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</si>
  <si>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</si>
  <si>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</si>
  <si>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</si>
  <si>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</si>
  <si>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</si>
  <si>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</si>
  <si>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</si>
  <si>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</si>
  <si>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</si>
  <si>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</si>
  <si>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</si>
  <si>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</si>
  <si>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</si>
  <si>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</si>
  <si>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</si>
  <si>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</si>
  <si>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</si>
  <si>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</si>
  <si>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</si>
  <si>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</si>
  <si>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</si>
  <si>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</si>
  <si>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</si>
  <si>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</si>
  <si>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</si>
  <si>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</si>
  <si>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</si>
  <si>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</si>
  <si>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</si>
  <si>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</si>
  <si>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</si>
  <si>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</si>
  <si>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</si>
  <si>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</si>
  <si>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</si>
  <si>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</si>
  <si>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Индексы за итогом</t>
  </si>
  <si>
    <t>_OBSM_</t>
  </si>
  <si>
    <t>1-100-20</t>
  </si>
  <si>
    <t>Затраты труда рабочих (Средний разряд - 2)</t>
  </si>
  <si>
    <t>чел.-ч.</t>
  </si>
  <si>
    <t>4-100-00</t>
  </si>
  <si>
    <t>Затраты труда машинистов</t>
  </si>
  <si>
    <t>91.01.01-035</t>
  </si>
  <si>
    <t>ФСЭМ-2001, 91.01.01-035 , приказ Минстроя России № 876/пр от 26.12.2019</t>
  </si>
  <si>
    <t>Бульдозеры, мощность 79 кВт (108 л.с.)</t>
  </si>
  <si>
    <t>маш.-ч.</t>
  </si>
  <si>
    <t>)*1,1</t>
  </si>
  <si>
    <t>91.01.05-086</t>
  </si>
  <si>
    <t>ФСЭМ-2001, 91.01.05-086 , приказ Минстроя России № 876/пр от 26.12.2019</t>
  </si>
  <si>
    <t>Экскаваторы одноковшовые дизельные на гусеничном ходу, емкость ковша 0,65 м3</t>
  </si>
  <si>
    <t>91.14.03-001</t>
  </si>
  <si>
    <t>ФСЭМ-2001, 91.14.03-001 , приказ Минстроя России № 876/пр от 26.12.2019</t>
  </si>
  <si>
    <t>Автомобили-самосвалы, грузоподъемность до 7 т</t>
  </si>
  <si>
    <t>1-100-25</t>
  </si>
  <si>
    <t>Затраты труда рабочих (Средний разряд - 2,5)</t>
  </si>
  <si>
    <t>91.06.05-011</t>
  </si>
  <si>
    <t>ФСЭМ-2001, 91.06.05-011 , приказ Минстроя России № 876/пр от 26.12.2019</t>
  </si>
  <si>
    <t>Погрузчики, грузоподъемность 5 т</t>
  </si>
  <si>
    <t>1-100-36</t>
  </si>
  <si>
    <t>Затраты труда рабочих (Средний разряд - 3,6)</t>
  </si>
  <si>
    <t>91.05.05-015</t>
  </si>
  <si>
    <t>ФСЭМ-2001, 91.05.05-015 , приказ Минстроя России № 876/пр от 26.12.2019</t>
  </si>
  <si>
    <t>Краны на автомобильном ходу, грузоподъемность 16 т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</si>
  <si>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</si>
  <si>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</si>
  <si>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</si>
  <si>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01.7.03.01-0001</t>
  </si>
  <si>
    <t>ФССЦ-2001, 01.7.03.01-0001, приказ Минстроя России № 876/пр от 26.12.2019</t>
  </si>
  <si>
    <t>Вода</t>
  </si>
  <si>
    <t>1-100-35</t>
  </si>
  <si>
    <t>Затраты труда рабочих (Средний разряд - 3,5)</t>
  </si>
  <si>
    <t>91.08.04-021</t>
  </si>
  <si>
    <t>ФСЭМ-2001, 91.08.04-021 , приказ Минстроя России № 876/пр от 26.12.2019</t>
  </si>
  <si>
    <t>Котлы битумные передвижные 400 л</t>
  </si>
  <si>
    <t>01.2.01.02-0054</t>
  </si>
  <si>
    <t>ФССЦ-2001, 01.2.01.02-0054, приказ Минстроя России № 876/пр от 26.12.2019</t>
  </si>
  <si>
    <t>Битумы нефтяные строительные БН-90/10</t>
  </si>
  <si>
    <t>01.3.01.08-0003</t>
  </si>
  <si>
    <t>ФССЦ-2001, 01.3.01.08-0003, приказ Минстроя России № 876/пр от 26.12.2019</t>
  </si>
  <si>
    <t>Топливо моторное для среднеоборотных и малооборотных дизелей ДТ</t>
  </si>
  <si>
    <t>01.7.07.29-0031</t>
  </si>
  <si>
    <t>ФССЦ-2001, 01.7.07.29-0031, приказ Минстроя России № 876/пр от 26.12.2019</t>
  </si>
  <si>
    <t>Каболка</t>
  </si>
  <si>
    <t>01.7.16.04-0013</t>
  </si>
  <si>
    <t>ФССЦ-2001, 01.7.16.04-0013, приказ Минстроя России № 876/пр от 26.12.2019</t>
  </si>
  <si>
    <t>Опалубка металлическая</t>
  </si>
  <si>
    <t>03.2.01.01-0001</t>
  </si>
  <si>
    <t>ФССЦ-2001, 03.2.01.01-0001, приказ Минстроя России № 876/пр от 26.12.2019</t>
  </si>
  <si>
    <t>Портландцемент общестроительного назначения бездобавочный М400 Д0 (ЦЕМ I 32,5Н)</t>
  </si>
  <si>
    <t>04.1.02.05-0001</t>
  </si>
  <si>
    <t>ФССЦ-2001, 04.1.02.05-0001, приказ Минстроя России № 876/пр от 26.12.2019</t>
  </si>
  <si>
    <t>Смеси бетонные тяжелого бетона (БСТ), класс В3,5 (М50)</t>
  </si>
  <si>
    <t>04.2.01.01-0048</t>
  </si>
  <si>
    <t>ФССЦ-2001 доп.3, 04.2.01.01-0048, приказ Минстроя России № 352/пр от 30.06.2020</t>
  </si>
  <si>
    <t>Смеси асфальтобетонные плотные мелкозернистые тип Б марка I</t>
  </si>
  <si>
    <t>04.3.01.03-0001</t>
  </si>
  <si>
    <t>ФССЦ-2001, 04.3.01.03-0001, приказ Минстроя России № 876/пр от 26.12.2019</t>
  </si>
  <si>
    <t>Раствор асбоцементный</t>
  </si>
  <si>
    <t>04.3.01.09-0012</t>
  </si>
  <si>
    <t>ФССЦ-2001, 04.3.01.09-0012, приказ Минстроя России № 876/пр от 26.12.2019</t>
  </si>
  <si>
    <t>Раствор готовый кладочный, цементный, М50</t>
  </si>
  <si>
    <t>1-100-31</t>
  </si>
  <si>
    <t>Затраты труда рабочих (Средний разряд - 3,1)</t>
  </si>
  <si>
    <t>01.2.01.02-0021</t>
  </si>
  <si>
    <t>ФССЦ-2001, 01.2.01.02-0021, приказ Минстроя России № 876/пр от 26.12.2019</t>
  </si>
  <si>
    <t>Битумы нефтяные модифицированные для кровельных мастик БНМ-55/60</t>
  </si>
  <si>
    <t>01.7.15.06-0111</t>
  </si>
  <si>
    <t>ФССЦ-2001, 01.7.15.06-0111, приказ Минстроя России № 876/пр от 26.12.2019</t>
  </si>
  <si>
    <t>Гвозди строительные</t>
  </si>
  <si>
    <t>01.7.15.10-0067</t>
  </si>
  <si>
    <t>ФССЦ-2001, 01.7.15.10-0067, приказ Минстроя России № 876/пр от 26.12.2019</t>
  </si>
  <si>
    <t>Скобы ходовые</t>
  </si>
  <si>
    <t>03.1.02.03-0011</t>
  </si>
  <si>
    <t>ФССЦ-2001, 03.1.02.03-0011, приказ Минстроя России № 876/пр от 26.12.2019</t>
  </si>
  <si>
    <t>Известь строительная негашеная комовая, сорт I</t>
  </si>
  <si>
    <t>04.3.01.09-0014</t>
  </si>
  <si>
    <t>ФССЦ-2001, 04.3.01.09-0014, приказ Минстроя России № 876/пр от 26.12.2019</t>
  </si>
  <si>
    <t>Раствор готовый кладочный, цементный, М100</t>
  </si>
  <si>
    <t>11.1.03.06-0091</t>
  </si>
  <si>
    <t>ФССЦ-2001, 11.1.03.06-0091, приказ Минстроя России № 876/пр от 26.12.2019</t>
  </si>
  <si>
    <t>Доска обрезная, хвойных пород, ширина 75-150 мм, толщина 32-40 мм, длина 4-6,5 м, сорт III</t>
  </si>
  <si>
    <t>91.05.06-012</t>
  </si>
  <si>
    <t>ФСЭМ-2001, 91.05.06-012 , приказ Минстроя России № 876/пр от 26.12.2019</t>
  </si>
  <si>
    <t>Краны на гусеничном ходу, грузоподъемность до 16 т</t>
  </si>
  <si>
    <t>91.05.08-006</t>
  </si>
  <si>
    <t>ФСЭМ-2001, 91.05.08-006 , приказ Минстроя России № 876/пр от 26.12.2019</t>
  </si>
  <si>
    <t>Краны на пневмоколесном ходу, грузоподъемность 16 т</t>
  </si>
  <si>
    <t>91.17.04-042</t>
  </si>
  <si>
    <t>ФСЭМ-2001, 91.17.04-042 , приказ Минстроя России № 876/пр от 26.12.2019</t>
  </si>
  <si>
    <t>Аппараты для газовой сварки и резки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</si>
  <si>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</si>
  <si>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</si>
  <si>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</si>
  <si>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01.3.02.08-0001</t>
  </si>
  <si>
    <t>ФССЦ-2001, 01.3.02.08-0001, приказ Минстроя России № 876/пр от 26.12.2019</t>
  </si>
  <si>
    <t>Кислород газообразный технический</t>
  </si>
  <si>
    <t>01.3.02.09-0022</t>
  </si>
  <si>
    <t>ФССЦ-2001, 01.3.02.09-0022, приказ Минстроя России № 876/пр от 26.12.2019</t>
  </si>
  <si>
    <t>Пропан-бутан смесь техническая</t>
  </si>
  <si>
    <t>кг</t>
  </si>
  <si>
    <t>01.7.11.07-0040</t>
  </si>
  <si>
    <t>ФССЦ-2001, 01.7.11.07-0040, приказ Минстроя России № 876/пр от 26.12.2019</t>
  </si>
  <si>
    <t>Электроды сварочные Э50А, диаметр 4 мм</t>
  </si>
  <si>
    <t>07.2.07.13-0171</t>
  </si>
  <si>
    <t>ФССЦ-2001, 07.2.07.13-0171, приказ Минстроя России № 876/пр от 26.12.2019</t>
  </si>
  <si>
    <t>Подкладки металлические</t>
  </si>
  <si>
    <t>08.1.02.11-0023</t>
  </si>
  <si>
    <t>ФССЦ-2001, 08.1.02.11-0023, приказ Минстроя России № 876/пр от 26.12.2019</t>
  </si>
  <si>
    <t>Поковки простые строительные (скобы, закрепы, хомуты), масса до 1,6 кг</t>
  </si>
  <si>
    <t>25.1.01.04-0031</t>
  </si>
  <si>
    <t>ФССЦ-2001, 25.1.01.04-0031, приказ Минстроя России № 876/пр от 26.12.2019</t>
  </si>
  <si>
    <t>Шпалы непропитанные для железных дорог, тип I</t>
  </si>
  <si>
    <t>999-9950</t>
  </si>
  <si>
    <t>Вспомогательные ненормируемые материалы (2% от ОЗП)</t>
  </si>
  <si>
    <t>РУБ</t>
  </si>
  <si>
    <t>1-100-30</t>
  </si>
  <si>
    <t>Затраты труда рабочих (Средний разряд - 3)</t>
  </si>
  <si>
    <t>02.3.01.02-1012</t>
  </si>
  <si>
    <t>ФССЦ-2001, 02.3.01.02-1012, приказ Минстроя России № 876/пр от 26.12.2019</t>
  </si>
  <si>
    <t>Песок природный II класс, средний, круглые сита</t>
  </si>
  <si>
    <t>03.2.01.02-0011</t>
  </si>
  <si>
    <t>ФССЦ-2001, 03.2.01.02-0011, приказ Минстроя России № 876/пр от 26.12.2019</t>
  </si>
  <si>
    <t>Портландцемент с минеральными добавками М300 Д20 (ЦЕМ II 22,5Н)</t>
  </si>
  <si>
    <t>04.1.02.05-0005</t>
  </si>
  <si>
    <t>ФССЦ-2001, 04.1.02.05-0005, приказ Минстроя России № 876/пр от 26.12.2019</t>
  </si>
  <si>
    <t>Смеси бетонные тяжелого бетона (БСТ), класс В12,5 (М150)</t>
  </si>
  <si>
    <t>1-100-15</t>
  </si>
  <si>
    <t>Затраты труда рабочих (Средний разряд - 1,5)</t>
  </si>
  <si>
    <t>91.01.01-034</t>
  </si>
  <si>
    <t>ФСЭМ-2001, 91.01.01-034 , приказ Минстроя России № 876/пр от 26.12.2019</t>
  </si>
  <si>
    <t>Бульдозеры, мощность 59 кВт (80 л.с.)</t>
  </si>
  <si>
    <t>91.08.09-023</t>
  </si>
  <si>
    <t>ФСЭМ-2001, 91.08.09-023 , приказ Минстроя России № 876/пр от 26.12.2019</t>
  </si>
  <si>
    <t>Трамбовки пневматические при работе от передвижных компрессорных станций</t>
  </si>
  <si>
    <t>91.18.01-007</t>
  </si>
  <si>
    <t>ФСЭМ-2001, 91.18.01-007 , приказ Минстроя России № 876/пр от 26.12.2019</t>
  </si>
  <si>
    <t>Компрессоры передвижные с двигателем внутреннего сгорания, давление до 686 кПа (7 ат), производительность до 5 м3/мин</t>
  </si>
  <si>
    <t>02.3.01.02</t>
  </si>
  <si>
    <t>Песок для строительных работ природный</t>
  </si>
  <si>
    <t>24.3.01.04</t>
  </si>
  <si>
    <t>Трубы ПВХ безнапорные, раструбные</t>
  </si>
  <si>
    <t>05.1.01.09</t>
  </si>
  <si>
    <t>Кольца для колодцев сборные железобетонные диаметром 1000 мм</t>
  </si>
  <si>
    <t>05.1.01.13</t>
  </si>
  <si>
    <t>Плиты сборные железобетонные</t>
  </si>
  <si>
    <t>08.1.02.06</t>
  </si>
  <si>
    <t>Люки чугунные</t>
  </si>
  <si>
    <t>Кольца для колодцев сборные железобетонные диаметром 1500 мм</t>
  </si>
  <si>
    <t>Кольца железобетонные и бетонные</t>
  </si>
  <si>
    <t>Прил. 1.12, п.3. 46</t>
  </si>
  <si>
    <t>Разработка вязких грунтов повышенной влажности, сильно налипающих на стенки и зубья ковша одноковшовых экскаваторов (кроме грунтов 5-6 группы)</t>
  </si>
  <si>
    <t>Тех. часть сб1</t>
  </si>
  <si>
    <t>)*1,2</t>
  </si>
  <si>
    <t>Поправка: Прил. 1.12, п.3.187.</t>
  </si>
  <si>
    <t>Поправка: Прил. 1.12, п.3.187. 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</si>
  <si>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*1,15</t>
  </si>
  <si>
    <t>Прил. 1.12, п.3.184.</t>
  </si>
  <si>
    <t>Разработка и обратная засыпка вручную сильно налипающего на инструменты грунта 2 группы</t>
  </si>
  <si>
    <t>ГОСУДАРСТВЕННЫЕ СМЕТНЫЕ НОРМАТИВЫ (ФЕР-2020), утвержденные приказами Минстроя России от 26 декабря 2019 г.   № 876/пр (в редакции приказов Минстроя РФ от 30 марта 2020 г. № 172/пр, от 1 июня 2020 г. № 294/пр, от 30 июня 2020 г. № 352/пр,   от 20 октября 2020 г. № 636/пр, от 9 февраля 2021 г. № 51/пр, от 24 мая 2021 г. № 321/пр, от 24 июня 2021 г. № 408/пр,  от 14 октября 2021 № 746/пр, от 20 декабря 2021 № 962/пр)</t>
  </si>
  <si>
    <t>Поправка: Прил. 1.12, п.3.187. Наименование: Доработка вручную, зачистка дна и стенок с выкидкой грунта в котлованах и траншеях, разработанных механизированным способом Поправка: Прил. 1.12, п.3.184. Наименование: Разработка и обратная засыпка вручную сильно налипающего на инструменты грунта 2 группы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</si>
  <si>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</si>
  <si>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</si>
  <si>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</si>
  <si>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</si>
  <si>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</si>
  <si>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</si>
  <si>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</si>
  <si>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</si>
  <si>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</si>
  <si>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</si>
  <si>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</si>
  <si>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</si>
  <si>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1326/1000 = 1,326</t>
  </si>
  <si>
    <t>1,326*1750 = 2320,5</t>
  </si>
  <si>
    <t>25,4/100 = 0,254</t>
  </si>
  <si>
    <t>51/10 = 5,1</t>
  </si>
  <si>
    <t>442/100 = 4,42</t>
  </si>
  <si>
    <t>19,5/10 = 1,95</t>
  </si>
  <si>
    <t>3,4/10 = 0,34</t>
  </si>
  <si>
    <t>7,8/10 = 0,78</t>
  </si>
  <si>
    <t>442/1000 = 0,442</t>
  </si>
  <si>
    <t>382/100 = 3,82</t>
  </si>
  <si>
    <t>1507/1000 = 1,507</t>
  </si>
  <si>
    <t>1,507*10 = 15,07</t>
  </si>
  <si>
    <t>- номер последнего сформированного листа</t>
  </si>
  <si>
    <t>Наименование программного продукта: "Мастер сметных расчетов" v11.11,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</si>
  <si>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</si>
  <si>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</si>
  <si>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</si>
  <si>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</si>
  <si>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</si>
  <si>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</si>
  <si>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</si>
  <si>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</si>
  <si>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</si>
  <si>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</si>
  <si>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</si>
  <si>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</si>
  <si>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</si>
  <si>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</si>
  <si>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6.3.5   Устройство внутриплощ. наружных сетей ливневой канализации П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</si>
  <si>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</si>
  <si>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</si>
  <si>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</si>
  <si>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</si>
  <si>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</si>
  <si>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</si>
  <si>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</si>
  <si>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</si>
  <si>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</si>
  <si>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</si>
  <si>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</si>
  <si>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</si>
  <si>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Составлено в уровне цен : IV кв. 2024 г.</t>
  </si>
  <si>
    <t>Наименование и редакция СНБ: ФЕР-2020 с Изм.9 от 2021.12.20</t>
  </si>
  <si>
    <t xml:space="preserve">Сметная (договорная) стоимость в соответствии с договором подряда (субподряда): </t>
  </si>
  <si>
    <t>тыс.руб.</t>
  </si>
  <si>
    <t xml:space="preserve"> 6.3.5   Устройство внутриплощ. наружных сетей ливневой канализации П </t>
  </si>
  <si>
    <t>ЛОКАЛЬНАЯ СМЕТА № 6.3.5</t>
  </si>
  <si>
    <t>Основание: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</si>
  <si>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</si>
  <si>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</si>
  <si>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</si>
  <si>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</si>
  <si>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</si>
  <si>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</si>
  <si>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>Составлен в базисном уровне цен с пересчетом в текущий уровень цен по состоянию на: IV кв. 2024 г.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</si>
  <si>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</si>
  <si>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</si>
  <si>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</si>
  <si>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</si>
  <si>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</si>
  <si>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ВСЕГО,
в уровне цен                IV кв. 2024 г., руб.</t>
  </si>
  <si>
    <t xml:space="preserve">Локальная смета: </t>
  </si>
  <si>
    <t xml:space="preserve"> 6.3.5</t>
  </si>
  <si>
    <t xml:space="preserve"> Наружные сети ливневой канализации К-2</t>
  </si>
  <si>
    <r>
      <t>Разработка грунта с погрузкой на автомобили-самосвалы экскаваторами с ковшом вместимостью: 0,65 (0,5-1) м3, группа грунтов 2/мокрый грунт</t>
    </r>
    <r>
      <rPr>
        <sz val="8"/>
        <color rgb="FF0000FF"/>
        <rFont val="Arial"/>
        <family val="2"/>
        <charset val="204"/>
      </rPr>
      <t xml:space="preserve">  (Поправка: Прил. 1.12, п.3. 46) </t>
    </r>
  </si>
  <si>
    <t xml:space="preserve">   ОЗП</t>
  </si>
  <si>
    <t xml:space="preserve">   ЭММ</t>
  </si>
  <si>
    <t xml:space="preserve">   в т.ч. ЗПМ</t>
  </si>
  <si>
    <t xml:space="preserve">   Материальные ресурсы</t>
  </si>
  <si>
    <t xml:space="preserve">   НР от ФОТ</t>
  </si>
  <si>
    <t>%</t>
  </si>
  <si>
    <t xml:space="preserve">   СП от ФОТ</t>
  </si>
  <si>
    <t xml:space="preserve">   Затраты труда рабочих</t>
  </si>
  <si>
    <t>чел-ч</t>
  </si>
  <si>
    <t xml:space="preserve">   Итого Ст.мат. по позиции</t>
  </si>
  <si>
    <t xml:space="preserve">   Всего по позиции</t>
  </si>
  <si>
    <r>
      <t>Разработка грунта вручную в траншеях глубиной до 2 м без креплений с откосами, группа грунтов: 2</t>
    </r>
    <r>
      <rPr>
        <sz val="8"/>
        <color rgb="FF0000FF"/>
        <rFont val="Arial"/>
        <family val="2"/>
        <charset val="204"/>
      </rPr>
      <t xml:space="preserve">  (Поправка: Прил. 1.12, п.3.187. Поправка: Прил. 1.12, п.3.184.) </t>
    </r>
  </si>
  <si>
    <t xml:space="preserve"> Расчет Баз.цены </t>
  </si>
  <si>
    <t xml:space="preserve">   1 306,25 +  2% Заг.скл = 1332.38</t>
  </si>
  <si>
    <t xml:space="preserve">   10 829,17 +  3,1% Трансп +  2% Заг.скл = 11388.17</t>
  </si>
  <si>
    <t xml:space="preserve">   [9 583,33 / 1,2] +  3,1% Трансп +  2% Заг.скл = 8398.35</t>
  </si>
  <si>
    <t xml:space="preserve">   98 280 +  3,1% Трансп +  2% Заг.скл = 103353.21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</si>
  <si>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</si>
  <si>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</si>
  <si>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</si>
  <si>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</si>
  <si>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</si>
  <si>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</si>
  <si>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</si>
  <si>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</si>
  <si>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</si>
  <si>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</si>
  <si>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</si>
  <si>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</si>
  <si>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</si>
  <si>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</si>
  <si>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</si>
  <si>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</si>
  <si>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</si>
  <si>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</si>
  <si>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</si>
  <si>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</si>
  <si>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</si>
  <si>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</si>
  <si>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</si>
  <si>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</si>
  <si>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</t>
  </si>
  <si>
    <t>Стоимость материальных ресурсов без учета доп. перевозки</t>
  </si>
  <si>
    <t>Стоимость материальных ресурсов Заказчика</t>
  </si>
  <si>
    <t>Стоимость материальных ресурсов Подрядчика</t>
  </si>
  <si>
    <t>Доп. перевозка материальных ресурсов</t>
  </si>
  <si>
    <t>Перевозка (за исключением доп. перевозки)</t>
  </si>
  <si>
    <t>ФОТ (справочно)</t>
  </si>
  <si>
    <t>Накладные расходы (НР)</t>
  </si>
  <si>
    <t>Сметная прибыль (СП)</t>
  </si>
  <si>
    <t>Стоимость оборудования</t>
  </si>
  <si>
    <t>Стоимость оборудования без учета доп. перевозки</t>
  </si>
  <si>
    <t>Стоимость оборудования Заказчика</t>
  </si>
  <si>
    <t>Стоимость оборудования Подрядчика</t>
  </si>
  <si>
    <t>Доп. перевозка оборудования</t>
  </si>
  <si>
    <t xml:space="preserve">Итого с НР и СП </t>
  </si>
  <si>
    <t>в том числе (работы и затраты):</t>
  </si>
  <si>
    <t>Строительные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</si>
  <si>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</si>
  <si>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</si>
  <si>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</si>
  <si>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</si>
  <si>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</si>
  <si>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НДС</t>
  </si>
  <si>
    <t>Всего с НДС</t>
  </si>
  <si>
    <t>Справочно: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</si>
  <si>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</si>
  <si>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</si>
  <si>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</si>
  <si>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Материальные ресурсы, отсутствующие в ФРСН</t>
  </si>
  <si>
    <t>Оборудование, отсутствующее в ФРСН</t>
  </si>
  <si>
    <t>Трудозатраты рабочих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</si>
  <si>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</si>
  <si>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</si>
  <si>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</si>
  <si>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</si>
  <si>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</si>
  <si>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</si>
  <si>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>Ведущий инженер-сметчик ООО "ОДСК-Инжиниринг"</t>
  </si>
  <si>
    <t>Мамаева Е.М.</t>
  </si>
  <si>
    <t>Проверил:</t>
  </si>
  <si>
    <t>Главный инженер-сметчик ООО "ОДСК-Инжиниринг"</t>
  </si>
  <si>
    <t>Кузнецова У.И.</t>
  </si>
  <si>
    <t>Когтев В.И.</t>
  </si>
  <si>
    <t>Конец</t>
  </si>
  <si>
    <t>SourceOb.2</t>
  </si>
  <si>
    <t>Параметры2.xls</t>
  </si>
  <si>
    <t>Форма № 1а</t>
  </si>
  <si>
    <t>На единицу,
в уровне цен                IV кв. 2024 г., руб.</t>
  </si>
  <si>
    <t>Руководитель ПТС ООО "ОСУ-2"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</si>
  <si>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</si>
  <si>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</si>
  <si>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</si>
  <si>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</si>
  <si>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</si>
  <si>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</si>
  <si>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</si>
  <si>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</si>
  <si>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</si>
  <si>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</si>
  <si>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</si>
  <si>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</si>
  <si>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</si>
  <si>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</si>
  <si>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</si>
  <si>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</si>
  <si>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</si>
  <si>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</si>
  <si>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</si>
  <si>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</si>
  <si>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</si>
  <si>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</si>
  <si>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</si>
  <si>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Материалы Подрядчика (учтенные в расценках)</t>
  </si>
  <si>
    <t>Материалы Подрядчика (неучтенные в расценках)</t>
  </si>
  <si>
    <t>- стоимость материалов (последний расчет)</t>
  </si>
  <si>
    <t>оборудования</t>
  </si>
  <si>
    <t>Не найдено ни одного ресурса выбранного типа.</t>
  </si>
  <si>
    <t>РЕСУРСНЫЙ РАСЧЕТ</t>
  </si>
  <si>
    <t>ресурсов</t>
  </si>
  <si>
    <t>Трудовые ресурсы</t>
  </si>
  <si>
    <t>Машины</t>
  </si>
  <si>
    <t>Материалы Подрядчика</t>
  </si>
  <si>
    <t>В том числе:</t>
  </si>
  <si>
    <t>Материальные ресурсы</t>
  </si>
  <si>
    <t>" У Т В Е Р Ж Д А Ю "</t>
  </si>
  <si>
    <t>__________________________</t>
  </si>
  <si>
    <t>"_____"_____________ _____г.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</si>
  <si>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</si>
  <si>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</si>
  <si>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</si>
  <si>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</si>
  <si>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</si>
  <si>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</si>
  <si>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</si>
  <si>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</si>
  <si>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</si>
  <si>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</si>
  <si>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</si>
  <si>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</si>
  <si>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</si>
  <si>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</si>
  <si>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</si>
  <si>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</si>
  <si>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Наружные сети ливневой канализации К-2</t>
  </si>
  <si>
    <t>v</t>
  </si>
  <si>
    <t>Ведомость объемов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</si>
</sst>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008000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008000"/>
      <name val="Arial"/>
      <family val="2"/>
      <charset val="204"/>
    </font>
    <font>
      <b/>
      <sz val="9"/>
      <color rgb="FF008000"/>
      <name val="Arial"/>
      <family val="2"/>
      <charset val="204"/>
    </font>
    <font>
      <sz val="10"/>
      <color rgb="FF00008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i/>
      <sz val="10"/>
      <color rgb="FFFF00FF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9"/>
      <color rgb="FFFF00FF"/>
      <name val="Arial"/>
      <family val="2"/>
      <charset val="204"/>
    </font>
    <font>
      <sz val="9"/>
      <color rgb="FFFFFFFF"/>
      <name val="Arial"/>
      <family val="2"/>
      <charset val="204"/>
    </font>
    <font>
      <sz val="8"/>
      <name val="Times New Roman"/>
      <family val="1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5" fillId="0" borderId="0" xfId="0" applyFont="1"/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49" fontId="11" fillId="0" borderId="0" xfId="0" applyNumberFormat="1" applyFont="1" applyAlignment="1">
      <alignment wrapText="1"/>
    </xf>
    <xf numFmtId="14" fontId="0" fillId="0" borderId="0" xfId="0" applyNumberFormat="1"/>
    <xf numFmtId="0" fontId="0" fillId="0" borderId="2" xfId="0" applyBorder="1"/>
    <xf numFmtId="0" fontId="0" fillId="0" borderId="6" xfId="0" applyBorder="1"/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0" xfId="0" applyFont="1"/>
    <xf numFmtId="49" fontId="13" fillId="0" borderId="12" xfId="0" applyNumberFormat="1" applyFont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17" fillId="0" borderId="0" xfId="0" applyFont="1" applyAlignment="1">
      <alignment horizontal="right" shrinkToFit="1"/>
    </xf>
    <xf numFmtId="4" fontId="11" fillId="0" borderId="0" xfId="0" applyNumberFormat="1" applyFont="1" applyAlignment="1">
      <alignment horizontal="right" shrinkToFit="1"/>
    </xf>
    <xf numFmtId="4" fontId="10" fillId="0" borderId="0" xfId="0" applyNumberFormat="1" applyFont="1" applyAlignment="1">
      <alignment horizontal="right" shrinkToFit="1"/>
    </xf>
    <xf numFmtId="0" fontId="20" fillId="0" borderId="17" xfId="0" applyFont="1" applyBorder="1" applyAlignment="1">
      <alignment horizontal="center" wrapText="1"/>
    </xf>
    <xf numFmtId="0" fontId="10" fillId="0" borderId="21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right" wrapText="1"/>
    </xf>
    <xf numFmtId="0" fontId="20" fillId="0" borderId="20" xfId="0" applyFont="1" applyBorder="1" applyAlignment="1">
      <alignment horizontal="right" shrinkToFit="1"/>
    </xf>
    <xf numFmtId="4" fontId="22" fillId="0" borderId="20" xfId="0" applyNumberFormat="1" applyFont="1" applyBorder="1" applyAlignment="1">
      <alignment horizontal="right" shrinkToFit="1"/>
    </xf>
    <xf numFmtId="4" fontId="22" fillId="0" borderId="22" xfId="0" applyNumberFormat="1" applyFont="1" applyBorder="1" applyAlignment="1">
      <alignment horizontal="right" shrinkToFit="1"/>
    </xf>
    <xf numFmtId="49" fontId="10" fillId="0" borderId="20" xfId="0" applyNumberFormat="1" applyFont="1" applyBorder="1" applyAlignment="1">
      <alignment horizontal="left" vertical="top" wrapText="1"/>
    </xf>
    <xf numFmtId="0" fontId="0" fillId="0" borderId="10" xfId="0" applyBorder="1"/>
    <xf numFmtId="0" fontId="0" fillId="0" borderId="23" xfId="0" applyBorder="1"/>
    <xf numFmtId="0" fontId="0" fillId="0" borderId="24" xfId="0" applyBorder="1"/>
    <xf numFmtId="0" fontId="23" fillId="0" borderId="10" xfId="0" applyFont="1" applyBorder="1" applyAlignment="1">
      <alignment horizontal="left" vertical="top" shrinkToFit="1"/>
    </xf>
    <xf numFmtId="0" fontId="0" fillId="0" borderId="25" xfId="0" applyBorder="1"/>
    <xf numFmtId="0" fontId="0" fillId="0" borderId="15" xfId="0" applyBorder="1"/>
    <xf numFmtId="0" fontId="0" fillId="0" borderId="26" xfId="0" applyBorder="1"/>
    <xf numFmtId="0" fontId="10" fillId="0" borderId="15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right" wrapText="1"/>
    </xf>
    <xf numFmtId="0" fontId="20" fillId="0" borderId="25" xfId="0" applyFont="1" applyBorder="1" applyAlignment="1">
      <alignment horizontal="right" shrinkToFit="1"/>
    </xf>
    <xf numFmtId="4" fontId="20" fillId="0" borderId="25" xfId="0" applyNumberFormat="1" applyFont="1" applyBorder="1" applyAlignment="1">
      <alignment horizontal="right" shrinkToFit="1"/>
    </xf>
    <xf numFmtId="4" fontId="20" fillId="0" borderId="26" xfId="0" applyNumberFormat="1" applyFont="1" applyBorder="1" applyAlignment="1">
      <alignment horizontal="right" shrinkToFit="1"/>
    </xf>
    <xf numFmtId="4" fontId="0" fillId="0" borderId="0" xfId="0" applyNumberFormat="1"/>
    <xf numFmtId="0" fontId="25" fillId="0" borderId="15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right" wrapText="1"/>
    </xf>
    <xf numFmtId="0" fontId="26" fillId="0" borderId="25" xfId="0" applyFont="1" applyBorder="1" applyAlignment="1">
      <alignment horizontal="right" shrinkToFit="1"/>
    </xf>
    <xf numFmtId="4" fontId="26" fillId="0" borderId="25" xfId="0" applyNumberFormat="1" applyFont="1" applyBorder="1" applyAlignment="1">
      <alignment horizontal="right" shrinkToFit="1"/>
    </xf>
    <xf numFmtId="4" fontId="26" fillId="0" borderId="26" xfId="0" applyNumberFormat="1" applyFont="1" applyBorder="1" applyAlignment="1">
      <alignment horizontal="right" shrinkToFit="1"/>
    </xf>
    <xf numFmtId="0" fontId="0" fillId="0" borderId="3" xfId="0" applyBorder="1"/>
    <xf numFmtId="0" fontId="0" fillId="0" borderId="27" xfId="0" applyBorder="1"/>
    <xf numFmtId="0" fontId="0" fillId="0" borderId="28" xfId="0" applyBorder="1"/>
    <xf numFmtId="0" fontId="28" fillId="0" borderId="27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right" wrapText="1"/>
    </xf>
    <xf numFmtId="0" fontId="29" fillId="0" borderId="6" xfId="0" applyFont="1" applyBorder="1" applyAlignment="1">
      <alignment horizontal="right" shrinkToFit="1"/>
    </xf>
    <xf numFmtId="4" fontId="29" fillId="0" borderId="6" xfId="0" applyNumberFormat="1" applyFont="1" applyBorder="1" applyAlignment="1">
      <alignment horizontal="right" shrinkToFit="1"/>
    </xf>
    <xf numFmtId="4" fontId="29" fillId="0" borderId="28" xfId="0" applyNumberFormat="1" applyFont="1" applyBorder="1" applyAlignment="1">
      <alignment horizontal="right" shrinkToFit="1"/>
    </xf>
    <xf numFmtId="49" fontId="28" fillId="0" borderId="6" xfId="0" applyNumberFormat="1" applyFont="1" applyBorder="1" applyAlignment="1">
      <alignment horizontal="left" vertical="top" wrapText="1"/>
    </xf>
    <xf numFmtId="0" fontId="27" fillId="0" borderId="0" xfId="0" applyFont="1"/>
    <xf numFmtId="0" fontId="16" fillId="0" borderId="25" xfId="0" applyFont="1" applyBorder="1" applyAlignment="1">
      <alignment vertical="top" shrinkToFit="1"/>
    </xf>
    <xf numFmtId="0" fontId="16" fillId="0" borderId="15" xfId="0" applyFont="1" applyBorder="1" applyAlignment="1">
      <alignment vertical="top" shrinkToFit="1"/>
    </xf>
    <xf numFmtId="4" fontId="16" fillId="0" borderId="25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0" fontId="30" fillId="0" borderId="29" xfId="0" applyFont="1" applyBorder="1" applyAlignment="1">
      <alignment vertical="top" shrinkToFit="1"/>
    </xf>
    <xf numFmtId="0" fontId="30" fillId="0" borderId="30" xfId="0" applyFont="1" applyBorder="1" applyAlignment="1">
      <alignment vertical="top" shrinkToFit="1"/>
    </xf>
    <xf numFmtId="0" fontId="10" fillId="0" borderId="27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right" wrapText="1"/>
    </xf>
    <xf numFmtId="0" fontId="20" fillId="0" borderId="6" xfId="0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4" fontId="22" fillId="0" borderId="28" xfId="0" applyNumberFormat="1" applyFont="1" applyBorder="1" applyAlignment="1">
      <alignment horizontal="right" shrinkToFit="1"/>
    </xf>
    <xf numFmtId="49" fontId="10" fillId="0" borderId="6" xfId="0" applyNumberFormat="1" applyFont="1" applyBorder="1" applyAlignment="1">
      <alignment horizontal="left" vertical="top" wrapText="1"/>
    </xf>
    <xf numFmtId="0" fontId="0" fillId="0" borderId="29" xfId="0" applyBorder="1"/>
    <xf numFmtId="0" fontId="23" fillId="0" borderId="30" xfId="0" applyFont="1" applyBorder="1" applyAlignment="1">
      <alignment horizontal="left" vertical="top" shrinkToFit="1"/>
    </xf>
    <xf numFmtId="0" fontId="0" fillId="0" borderId="30" xfId="0" applyBorder="1"/>
    <xf numFmtId="0" fontId="0" fillId="0" borderId="31" xfId="0" applyBorder="1"/>
    <xf numFmtId="0" fontId="10" fillId="0" borderId="2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horizontal="right" shrinkToFit="1"/>
    </xf>
    <xf numFmtId="4" fontId="20" fillId="0" borderId="10" xfId="0" applyNumberFormat="1" applyFont="1" applyBorder="1" applyAlignment="1">
      <alignment horizontal="right" shrinkToFit="1"/>
    </xf>
    <xf numFmtId="4" fontId="20" fillId="0" borderId="24" xfId="0" applyNumberFormat="1" applyFont="1" applyBorder="1" applyAlignment="1">
      <alignment horizontal="right" shrinkToFit="1"/>
    </xf>
    <xf numFmtId="0" fontId="10" fillId="0" borderId="16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right" wrapText="1"/>
    </xf>
    <xf numFmtId="0" fontId="20" fillId="0" borderId="32" xfId="0" applyFont="1" applyBorder="1" applyAlignment="1">
      <alignment horizontal="right" shrinkToFit="1"/>
    </xf>
    <xf numFmtId="4" fontId="20" fillId="0" borderId="32" xfId="0" applyNumberFormat="1" applyFont="1" applyBorder="1" applyAlignment="1">
      <alignment horizontal="right" shrinkToFit="1"/>
    </xf>
    <xf numFmtId="0" fontId="23" fillId="0" borderId="10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8" fillId="0" borderId="23" xfId="0" applyFont="1" applyBorder="1" applyAlignment="1">
      <alignment horizontal="left" vertical="top" wrapText="1"/>
    </xf>
    <xf numFmtId="49" fontId="28" fillId="0" borderId="10" xfId="0" applyNumberFormat="1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right" wrapText="1"/>
    </xf>
    <xf numFmtId="0" fontId="29" fillId="0" borderId="10" xfId="0" applyFont="1" applyBorder="1" applyAlignment="1">
      <alignment horizontal="right" shrinkToFit="1"/>
    </xf>
    <xf numFmtId="4" fontId="29" fillId="0" borderId="10" xfId="0" applyNumberFormat="1" applyFont="1" applyBorder="1" applyAlignment="1">
      <alignment horizontal="right" shrinkToFit="1"/>
    </xf>
    <xf numFmtId="4" fontId="29" fillId="0" borderId="24" xfId="0" applyNumberFormat="1" applyFont="1" applyBorder="1" applyAlignment="1">
      <alignment horizontal="right" shrinkToFit="1"/>
    </xf>
    <xf numFmtId="0" fontId="25" fillId="0" borderId="16" xfId="0" applyFont="1" applyBorder="1" applyAlignment="1">
      <alignment horizontal="left" vertical="top" wrapText="1"/>
    </xf>
    <xf numFmtId="0" fontId="25" fillId="0" borderId="32" xfId="0" applyFont="1" applyBorder="1" applyAlignment="1">
      <alignment horizontal="left" vertical="top" wrapText="1"/>
    </xf>
    <xf numFmtId="0" fontId="25" fillId="0" borderId="32" xfId="0" applyFont="1" applyBorder="1" applyAlignment="1">
      <alignment horizontal="right" wrapText="1"/>
    </xf>
    <xf numFmtId="0" fontId="26" fillId="0" borderId="32" xfId="0" applyFont="1" applyBorder="1" applyAlignment="1">
      <alignment horizontal="right" shrinkToFit="1"/>
    </xf>
    <xf numFmtId="4" fontId="26" fillId="0" borderId="32" xfId="0" applyNumberFormat="1" applyFont="1" applyBorder="1" applyAlignment="1">
      <alignment horizontal="right" shrinkToFit="1"/>
    </xf>
    <xf numFmtId="4" fontId="26" fillId="0" borderId="33" xfId="0" applyNumberFormat="1" applyFont="1" applyBorder="1" applyAlignment="1">
      <alignment horizontal="right" shrinkToFit="1"/>
    </xf>
    <xf numFmtId="0" fontId="0" fillId="0" borderId="19" xfId="0" applyBorder="1" applyAlignment="1">
      <alignment shrinkToFit="1"/>
    </xf>
    <xf numFmtId="0" fontId="16" fillId="0" borderId="19" xfId="0" applyFont="1" applyBorder="1" applyAlignment="1">
      <alignment shrinkToFit="1"/>
    </xf>
    <xf numFmtId="4" fontId="16" fillId="0" borderId="19" xfId="0" applyNumberFormat="1" applyFont="1" applyBorder="1" applyAlignment="1">
      <alignment shrinkToFit="1"/>
    </xf>
    <xf numFmtId="0" fontId="31" fillId="0" borderId="0" xfId="0" applyFont="1"/>
    <xf numFmtId="0" fontId="32" fillId="0" borderId="0" xfId="0" applyFont="1"/>
    <xf numFmtId="4" fontId="9" fillId="0" borderId="0" xfId="0" applyNumberFormat="1" applyFont="1" applyAlignment="1">
      <alignment shrinkToFit="1"/>
    </xf>
    <xf numFmtId="0" fontId="32" fillId="0" borderId="0" xfId="0" applyFont="1" applyAlignment="1">
      <alignment horizontal="left" indent="1"/>
    </xf>
    <xf numFmtId="0" fontId="33" fillId="0" borderId="0" xfId="0" applyFont="1"/>
    <xf numFmtId="0" fontId="33" fillId="0" borderId="0" xfId="0" applyFont="1" applyAlignment="1">
      <alignment horizontal="left" indent="2"/>
    </xf>
    <xf numFmtId="4" fontId="33" fillId="0" borderId="0" xfId="0" applyNumberFormat="1" applyFont="1" applyAlignment="1">
      <alignment shrinkToFit="1"/>
    </xf>
    <xf numFmtId="0" fontId="32" fillId="0" borderId="0" xfId="0" applyFont="1" applyAlignment="1">
      <alignment horizontal="left" indent="3"/>
    </xf>
    <xf numFmtId="0" fontId="33" fillId="0" borderId="0" xfId="0" applyFont="1" applyAlignment="1">
      <alignment horizontal="left" indent="4"/>
    </xf>
    <xf numFmtId="0" fontId="24" fillId="0" borderId="0" xfId="0" applyFont="1"/>
    <xf numFmtId="0" fontId="24" fillId="0" borderId="0" xfId="0" applyFont="1" applyAlignment="1">
      <alignment horizontal="left" indent="2"/>
    </xf>
    <xf numFmtId="4" fontId="24" fillId="0" borderId="0" xfId="0" applyNumberFormat="1" applyFont="1" applyAlignment="1">
      <alignment shrinkToFit="1"/>
    </xf>
    <xf numFmtId="0" fontId="24" fillId="0" borderId="0" xfId="0" applyFont="1" applyAlignment="1">
      <alignment horizontal="left" indent="4"/>
    </xf>
    <xf numFmtId="0" fontId="27" fillId="0" borderId="0" xfId="0" applyFont="1" applyAlignment="1">
      <alignment horizontal="left" indent="2"/>
    </xf>
    <xf numFmtId="4" fontId="27" fillId="0" borderId="0" xfId="0" applyNumberFormat="1" applyFont="1" applyAlignment="1">
      <alignment shrinkToFit="1"/>
    </xf>
    <xf numFmtId="0" fontId="27" fillId="0" borderId="0" xfId="0" applyFont="1" applyAlignment="1">
      <alignment horizontal="left" indent="3"/>
    </xf>
    <xf numFmtId="0" fontId="27" fillId="0" borderId="0" xfId="0" applyFont="1" applyAlignment="1">
      <alignment horizontal="left" indent="4"/>
    </xf>
    <xf numFmtId="0" fontId="27" fillId="0" borderId="0" xfId="0" applyFont="1" applyAlignment="1">
      <alignment horizontal="left" indent="6"/>
    </xf>
    <xf numFmtId="0" fontId="31" fillId="0" borderId="0" xfId="0" applyFont="1" applyAlignment="1">
      <alignment horizontal="left" indent="2"/>
    </xf>
    <xf numFmtId="4" fontId="31" fillId="0" borderId="0" xfId="0" applyNumberFormat="1" applyFont="1" applyAlignment="1">
      <alignment shrinkToFit="1"/>
    </xf>
    <xf numFmtId="0" fontId="34" fillId="0" borderId="0" xfId="0" applyFont="1"/>
    <xf numFmtId="4" fontId="34" fillId="0" borderId="0" xfId="0" applyNumberFormat="1" applyFont="1" applyAlignment="1">
      <alignment shrinkToFit="1"/>
    </xf>
    <xf numFmtId="0" fontId="35" fillId="0" borderId="0" xfId="0" applyFont="1"/>
    <xf numFmtId="4" fontId="35" fillId="0" borderId="0" xfId="0" applyNumberFormat="1" applyFont="1" applyAlignment="1">
      <alignment shrinkToFit="1"/>
    </xf>
    <xf numFmtId="0" fontId="36" fillId="0" borderId="0" xfId="0" applyFont="1" applyAlignment="1">
      <alignment horizontal="left" indent="1"/>
    </xf>
    <xf numFmtId="0" fontId="36" fillId="0" borderId="0" xfId="0" applyFont="1"/>
    <xf numFmtId="0" fontId="35" fillId="0" borderId="0" xfId="0" applyFont="1" applyAlignment="1">
      <alignment horizontal="left" indent="2"/>
    </xf>
    <xf numFmtId="0" fontId="35" fillId="0" borderId="0" xfId="0" applyFont="1" applyAlignment="1">
      <alignment horizontal="left" indent="4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4" fontId="16" fillId="0" borderId="0" xfId="0" applyNumberFormat="1" applyFont="1" applyAlignment="1">
      <alignment shrinkToFit="1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0" xfId="0" applyFont="1" applyAlignment="1">
      <alignment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4" fontId="10" fillId="0" borderId="26" xfId="0" applyNumberFormat="1" applyFont="1" applyBorder="1" applyAlignment="1">
      <alignment horizontal="right" vertical="top" shrinkToFit="1"/>
    </xf>
    <xf numFmtId="4" fontId="15" fillId="0" borderId="0" xfId="0" applyNumberFormat="1" applyFont="1"/>
    <xf numFmtId="4" fontId="30" fillId="0" borderId="30" xfId="0" applyNumberFormat="1" applyFont="1" applyBorder="1" applyAlignment="1">
      <alignment vertical="top" shrinkToFit="1"/>
    </xf>
    <xf numFmtId="4" fontId="30" fillId="0" borderId="31" xfId="0" applyNumberFormat="1" applyFont="1" applyBorder="1" applyAlignment="1">
      <alignment vertical="top" shrinkToFit="1"/>
    </xf>
    <xf numFmtId="4" fontId="10" fillId="0" borderId="33" xfId="0" applyNumberFormat="1" applyFont="1" applyBorder="1" applyAlignment="1">
      <alignment horizontal="right" vertical="top" shrinkToFit="1"/>
    </xf>
    <xf numFmtId="0" fontId="10" fillId="0" borderId="9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20" fillId="0" borderId="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40" fillId="0" borderId="0" xfId="0" applyFont="1"/>
    <xf numFmtId="0" fontId="16" fillId="0" borderId="0" xfId="0" applyFont="1" applyAlignment="1">
      <alignment horizontal="left" vertical="top"/>
    </xf>
    <xf numFmtId="4" fontId="16" fillId="0" borderId="0" xfId="0" applyNumberFormat="1" applyFont="1" applyAlignment="1">
      <alignment horizontal="right" vertical="top" shrinkToFit="1"/>
    </xf>
    <xf numFmtId="0" fontId="0" fillId="0" borderId="6" xfId="0" applyFill="1" applyBorder="1"/>
    <xf numFmtId="0" fontId="16" fillId="0" borderId="6" xfId="0" applyFont="1" applyFill="1" applyBorder="1" applyAlignment="1">
      <alignment horizontal="left" vertical="top"/>
    </xf>
    <xf numFmtId="4" fontId="16" fillId="0" borderId="6" xfId="0" applyNumberFormat="1" applyFont="1" applyFill="1" applyBorder="1" applyAlignment="1">
      <alignment horizontal="right" vertical="top" shrinkToFit="1"/>
    </xf>
    <xf numFmtId="0" fontId="0" fillId="0" borderId="10" xfId="0" applyFill="1" applyBorder="1"/>
    <xf numFmtId="0" fontId="16" fillId="0" borderId="10" xfId="0" applyFont="1" applyFill="1" applyBorder="1" applyAlignment="1">
      <alignment horizontal="left" vertical="top"/>
    </xf>
    <xf numFmtId="4" fontId="16" fillId="0" borderId="10" xfId="0" applyNumberFormat="1" applyFont="1" applyFill="1" applyBorder="1" applyAlignment="1">
      <alignment horizontal="right" vertical="top" shrinkToFit="1"/>
    </xf>
    <xf numFmtId="0" fontId="16" fillId="0" borderId="6" xfId="0" applyFont="1" applyFill="1" applyBorder="1"/>
    <xf numFmtId="0" fontId="20" fillId="0" borderId="6" xfId="0" applyFont="1" applyFill="1" applyBorder="1" applyAlignment="1">
      <alignment horizontal="center" vertical="top" shrinkToFit="1"/>
    </xf>
    <xf numFmtId="0" fontId="20" fillId="0" borderId="6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right" shrinkToFit="1"/>
    </xf>
    <xf numFmtId="4" fontId="20" fillId="0" borderId="6" xfId="0" applyNumberFormat="1" applyFont="1" applyFill="1" applyBorder="1" applyAlignment="1">
      <alignment horizontal="right" shrinkToFit="1"/>
    </xf>
    <xf numFmtId="0" fontId="39" fillId="0" borderId="6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26" fillId="0" borderId="6" xfId="0" applyFont="1" applyFill="1" applyBorder="1" applyAlignment="1">
      <alignment horizontal="left" vertical="top" wrapText="1"/>
    </xf>
    <xf numFmtId="0" fontId="0" fillId="0" borderId="8" xfId="0" applyBorder="1"/>
    <xf numFmtId="0" fontId="16" fillId="0" borderId="0" xfId="0" applyFont="1" applyAlignment="1">
      <alignment horizontal="left" vertical="top" indent="1"/>
    </xf>
    <xf numFmtId="0" fontId="43" fillId="0" borderId="0" xfId="0" applyFont="1" applyAlignment="1">
      <alignment wrapText="1"/>
    </xf>
    <xf numFmtId="0" fontId="0" fillId="0" borderId="0" xfId="0" applyNumberFormat="1"/>
    <xf numFmtId="0" fontId="44" fillId="0" borderId="6" xfId="0" applyFont="1" applyFill="1" applyBorder="1" applyAlignment="1">
      <alignment horizontal="center" vertical="top" shrinkToFit="1"/>
    </xf>
    <xf numFmtId="0" fontId="44" fillId="0" borderId="6" xfId="0" applyFont="1" applyFill="1" applyBorder="1" applyAlignment="1">
      <alignment horizontal="left" vertical="top" wrapText="1"/>
    </xf>
    <xf numFmtId="0" fontId="44" fillId="0" borderId="6" xfId="0" applyFont="1" applyFill="1" applyBorder="1" applyAlignment="1">
      <alignment horizontal="right" shrinkToFit="1"/>
    </xf>
    <xf numFmtId="0" fontId="44" fillId="0" borderId="6" xfId="0" applyFont="1" applyFill="1" applyBorder="1"/>
    <xf numFmtId="0" fontId="29" fillId="0" borderId="6" xfId="0" applyFont="1" applyFill="1" applyBorder="1" applyAlignment="1">
      <alignment horizontal="center" vertical="top" shrinkToFit="1"/>
    </xf>
    <xf numFmtId="0" fontId="29" fillId="0" borderId="6" xfId="0" applyFont="1" applyFill="1" applyBorder="1" applyAlignment="1">
      <alignment horizontal="left" vertical="top" wrapText="1" indent="1"/>
    </xf>
    <xf numFmtId="0" fontId="29" fillId="0" borderId="6" xfId="0" applyFont="1" applyFill="1" applyBorder="1" applyAlignment="1">
      <alignment horizontal="right" shrinkToFit="1"/>
    </xf>
    <xf numFmtId="0" fontId="26" fillId="0" borderId="6" xfId="0" applyFont="1" applyFill="1" applyBorder="1" applyAlignment="1">
      <alignment horizontal="right" shrinkToFit="1"/>
    </xf>
    <xf numFmtId="0" fontId="29" fillId="0" borderId="6" xfId="0" applyFont="1" applyFill="1" applyBorder="1"/>
    <xf numFmtId="0" fontId="20" fillId="0" borderId="6" xfId="0" applyFont="1" applyFill="1" applyBorder="1" applyAlignment="1">
      <alignment horizontal="left" vertical="top" wrapText="1" indent="1"/>
    </xf>
    <xf numFmtId="0" fontId="20" fillId="0" borderId="6" xfId="0" applyFont="1" applyFill="1" applyBorder="1"/>
    <xf numFmtId="0" fontId="10" fillId="0" borderId="9" xfId="0" applyFont="1" applyBorder="1" applyAlignment="1">
      <alignment horizontal="left" wrapText="1"/>
    </xf>
    <xf numFmtId="0" fontId="41" fillId="0" borderId="3" xfId="0" applyFont="1" applyBorder="1" applyAlignment="1">
      <alignment horizontal="center"/>
    </xf>
    <xf numFmtId="49" fontId="1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42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38" fillId="0" borderId="0" xfId="0" applyFont="1" applyAlignment="1">
      <alignment horizontal="left" vertical="top" wrapText="1"/>
    </xf>
    <xf numFmtId="0" fontId="11" fillId="0" borderId="0" xfId="0" applyFont="1"/>
    <xf numFmtId="0" fontId="37" fillId="0" borderId="3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12" fillId="0" borderId="0" xfId="0" applyFont="1" applyAlignment="1">
      <alignment horizontal="right" vertical="top"/>
    </xf>
    <xf numFmtId="49" fontId="11" fillId="0" borderId="2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14" fontId="11" fillId="0" borderId="2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right" shrinkToFit="1"/>
    </xf>
    <xf numFmtId="49" fontId="20" fillId="0" borderId="0" xfId="0" applyNumberFormat="1" applyFont="1" applyAlignment="1">
      <alignment horizontal="left" vertical="top" wrapText="1"/>
    </xf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0" fillId="0" borderId="8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18"/>
  <sheetViews>
    <sheetView topLeftCell="A100" workbookViewId="0">
      <selection sqref="A1:K1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108.7109375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79" width="37.7109375" hidden="1" customWidth="1"/>
    <col min="80" max="256" width="0" hidden="1" customWidth="1"/>
  </cols>
  <sheetData>
    <row r="1" spans="1:255" s="13" customFormat="1" ht="11.25" x14ac:dyDescent="0.2">
      <c r="A1" s="244" t="s">
        <v>526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255" x14ac:dyDescent="0.2">
      <c r="H2" s="233" t="s">
        <v>703</v>
      </c>
      <c r="I2" s="233"/>
      <c r="J2" s="233"/>
      <c r="K2" s="233"/>
    </row>
    <row r="3" spans="1:255" x14ac:dyDescent="0.2">
      <c r="H3" s="233"/>
      <c r="I3" s="233"/>
      <c r="J3" s="233"/>
      <c r="K3" s="233"/>
      <c r="CA3" s="20">
        <f>H3</f>
        <v>0</v>
      </c>
      <c r="IU3" s="21"/>
    </row>
    <row r="4" spans="1:255" x14ac:dyDescent="0.2">
      <c r="H4" s="233"/>
      <c r="I4" s="233"/>
      <c r="J4" s="233"/>
      <c r="K4" s="233"/>
      <c r="CA4" s="20">
        <f>H4</f>
        <v>0</v>
      </c>
      <c r="IU4" s="21"/>
    </row>
    <row r="5" spans="1:255" x14ac:dyDescent="0.2">
      <c r="H5" s="233"/>
      <c r="I5" s="233"/>
      <c r="J5" s="233"/>
      <c r="K5" s="233"/>
    </row>
    <row r="6" spans="1:255" x14ac:dyDescent="0.2">
      <c r="H6" s="233" t="s">
        <v>704</v>
      </c>
      <c r="I6" s="233"/>
      <c r="J6" s="233"/>
      <c r="K6" s="233"/>
    </row>
    <row r="7" spans="1:255" x14ac:dyDescent="0.2">
      <c r="H7" s="233"/>
      <c r="I7" s="233"/>
      <c r="J7" s="233"/>
      <c r="K7" s="233"/>
      <c r="CA7" s="20">
        <f>H7</f>
        <v>0</v>
      </c>
      <c r="IU7" s="21"/>
    </row>
    <row r="8" spans="1:255" x14ac:dyDescent="0.2">
      <c r="H8" s="233" t="s">
        <v>705</v>
      </c>
      <c r="I8" s="233"/>
      <c r="J8" s="233"/>
      <c r="K8" s="233"/>
    </row>
    <row r="11" spans="1:255" x14ac:dyDescent="0.2">
      <c r="A11" s="18" t="s">
        <v>533</v>
      </c>
      <c r="B11" s="17"/>
      <c r="C11" s="234"/>
      <c r="D11" s="235"/>
      <c r="E11" s="235"/>
      <c r="F11" s="235"/>
      <c r="G11" s="235"/>
      <c r="H11" s="235"/>
      <c r="I11" s="235"/>
      <c r="J11" s="235"/>
      <c r="K11" s="235"/>
      <c r="BR11" s="20">
        <f>C11</f>
        <v>0</v>
      </c>
      <c r="IU11" s="21"/>
    </row>
    <row r="12" spans="1:255" x14ac:dyDescent="0.2">
      <c r="A12" s="18" t="s">
        <v>535</v>
      </c>
      <c r="B12" s="17"/>
      <c r="C12" s="236"/>
      <c r="D12" s="237"/>
      <c r="E12" s="237"/>
      <c r="F12" s="237"/>
      <c r="G12" s="237"/>
      <c r="H12" s="237"/>
      <c r="I12" s="237"/>
      <c r="J12" s="237"/>
      <c r="K12" s="237"/>
      <c r="BR12" s="20">
        <f>C12</f>
        <v>0</v>
      </c>
      <c r="IU12" s="21"/>
    </row>
    <row r="13" spans="1:255" x14ac:dyDescent="0.2">
      <c r="A13" s="18" t="s">
        <v>536</v>
      </c>
      <c r="B13" s="17"/>
      <c r="C13" s="236"/>
      <c r="D13" s="237"/>
      <c r="E13" s="237"/>
      <c r="F13" s="237"/>
      <c r="G13" s="237"/>
      <c r="H13" s="237"/>
      <c r="I13" s="237"/>
      <c r="J13" s="237"/>
      <c r="K13" s="237"/>
      <c r="BR13" s="20">
        <f>C13</f>
        <v>0</v>
      </c>
      <c r="IU13" s="21"/>
    </row>
    <row r="14" spans="1:255" x14ac:dyDescent="0.2">
      <c r="A14" s="18" t="s">
        <v>537</v>
      </c>
      <c r="B14" s="17"/>
      <c r="C14" s="238"/>
      <c r="D14" s="239"/>
      <c r="E14" s="239"/>
      <c r="F14" s="239"/>
      <c r="G14" s="239"/>
      <c r="H14" s="239"/>
      <c r="I14" s="239"/>
      <c r="J14" s="239"/>
      <c r="K14" s="239"/>
      <c r="BR14" s="20">
        <f>C14</f>
        <v>0</v>
      </c>
      <c r="IU14" s="21"/>
    </row>
    <row r="15" spans="1:255" x14ac:dyDescent="0.2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255" ht="18.75" x14ac:dyDescent="0.3">
      <c r="A16" s="241" t="s">
        <v>706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</row>
    <row r="17" spans="1:255" x14ac:dyDescent="0.2">
      <c r="A17" s="242" t="s">
        <v>707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spans="1:255" x14ac:dyDescent="0.2">
      <c r="A18" s="242"/>
      <c r="B18" s="242"/>
      <c r="C18" s="242"/>
      <c r="D18" s="242"/>
      <c r="E18" s="242"/>
      <c r="F18" s="242"/>
      <c r="G18" s="242"/>
      <c r="H18" s="242"/>
      <c r="I18" s="242"/>
      <c r="J18" s="242"/>
      <c r="K18" s="242"/>
    </row>
    <row r="19" spans="1:255" ht="47.25" x14ac:dyDescent="0.25">
      <c r="A19" s="12" t="s">
        <v>671</v>
      </c>
      <c r="B19" s="243" t="s">
        <v>4</v>
      </c>
      <c r="C19" s="243"/>
      <c r="D19" s="243"/>
      <c r="E19" s="243"/>
      <c r="F19" s="243"/>
      <c r="G19" s="243"/>
      <c r="H19" s="243"/>
      <c r="I19" s="243"/>
      <c r="J19" s="243"/>
      <c r="K19" s="243"/>
      <c r="BS19" s="182" t="str">
        <f>B19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9" s="21"/>
    </row>
    <row r="20" spans="1:255" ht="47.25" x14ac:dyDescent="0.25">
      <c r="A20" s="12" t="s">
        <v>539</v>
      </c>
      <c r="B20" s="232" t="s">
        <v>4</v>
      </c>
      <c r="C20" s="232"/>
      <c r="D20" s="232"/>
      <c r="E20" s="232"/>
      <c r="F20" s="232"/>
      <c r="G20" s="232"/>
      <c r="H20" s="232"/>
      <c r="I20" s="232"/>
      <c r="J20" s="232"/>
      <c r="K20" s="232"/>
      <c r="BS20" s="182" t="str">
        <f>B20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20" s="21"/>
    </row>
    <row r="21" spans="1:255" x14ac:dyDescent="0.2">
      <c r="A21" s="12" t="s">
        <v>540</v>
      </c>
      <c r="B21" s="225" t="s">
        <v>558</v>
      </c>
      <c r="C21" s="226"/>
      <c r="D21" s="226"/>
      <c r="E21" s="226"/>
      <c r="F21" s="226"/>
      <c r="G21" s="226"/>
      <c r="H21" s="226"/>
      <c r="I21" s="226"/>
      <c r="J21" s="226"/>
      <c r="K21" s="226"/>
      <c r="BT21" s="20">
        <f>C21</f>
        <v>0</v>
      </c>
      <c r="IU21" s="21"/>
    </row>
    <row r="23" spans="1:255" x14ac:dyDescent="0.2">
      <c r="A23" s="183" t="s">
        <v>672</v>
      </c>
      <c r="B23" s="183" t="s">
        <v>674</v>
      </c>
      <c r="C23" s="183" t="s">
        <v>677</v>
      </c>
      <c r="D23" s="183" t="s">
        <v>679</v>
      </c>
      <c r="E23" s="183" t="s">
        <v>709</v>
      </c>
      <c r="F23" s="227" t="s">
        <v>711</v>
      </c>
      <c r="G23" s="228"/>
      <c r="H23" s="228"/>
      <c r="I23" s="183" t="s">
        <v>716</v>
      </c>
      <c r="J23" s="183"/>
      <c r="K23" s="184" t="s">
        <v>719</v>
      </c>
    </row>
    <row r="24" spans="1:255" x14ac:dyDescent="0.2">
      <c r="A24" s="185" t="s">
        <v>673</v>
      </c>
      <c r="B24" s="185" t="s">
        <v>675</v>
      </c>
      <c r="C24" s="185" t="s">
        <v>708</v>
      </c>
      <c r="D24" s="185" t="s">
        <v>680</v>
      </c>
      <c r="E24" s="185" t="s">
        <v>710</v>
      </c>
      <c r="F24" s="183" t="s">
        <v>712</v>
      </c>
      <c r="G24" s="183" t="s">
        <v>714</v>
      </c>
      <c r="H24" s="183" t="s">
        <v>715</v>
      </c>
      <c r="I24" s="185" t="s">
        <v>717</v>
      </c>
      <c r="J24" s="185" t="s">
        <v>718</v>
      </c>
      <c r="K24" s="186" t="s">
        <v>720</v>
      </c>
    </row>
    <row r="25" spans="1:255" x14ac:dyDescent="0.2">
      <c r="A25" s="185"/>
      <c r="B25" s="185" t="s">
        <v>676</v>
      </c>
      <c r="C25" s="185"/>
      <c r="D25" s="185" t="s">
        <v>681</v>
      </c>
      <c r="E25" s="185"/>
      <c r="F25" s="185" t="s">
        <v>713</v>
      </c>
      <c r="G25" s="185"/>
      <c r="H25" s="185"/>
      <c r="I25" s="185"/>
      <c r="J25" s="185"/>
      <c r="K25" s="186" t="s">
        <v>721</v>
      </c>
    </row>
    <row r="26" spans="1:255" x14ac:dyDescent="0.2">
      <c r="A26" s="183">
        <v>1</v>
      </c>
      <c r="B26" s="183">
        <v>2</v>
      </c>
      <c r="C26" s="183">
        <v>3</v>
      </c>
      <c r="D26" s="183">
        <v>4</v>
      </c>
      <c r="E26" s="183">
        <v>5</v>
      </c>
      <c r="F26" s="183">
        <v>6</v>
      </c>
      <c r="G26" s="183">
        <v>7</v>
      </c>
      <c r="H26" s="183">
        <v>8</v>
      </c>
      <c r="I26" s="183">
        <v>9</v>
      </c>
      <c r="J26" s="183">
        <v>10</v>
      </c>
      <c r="K26" s="184">
        <v>11</v>
      </c>
    </row>
    <row r="27" spans="1:255" ht="15" x14ac:dyDescent="0.25">
      <c r="A27" s="229" t="s">
        <v>722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1"/>
      <c r="BU27" s="210" t="str">
        <f>A27</f>
        <v>Смета: Наружные сети ливневой канализации К-2</v>
      </c>
      <c r="IU27" s="21"/>
    </row>
    <row r="28" spans="1:255" ht="48" x14ac:dyDescent="0.2">
      <c r="A28" s="212" t="s">
        <v>16</v>
      </c>
      <c r="B28" s="213" t="s">
        <v>17</v>
      </c>
      <c r="C28" s="213" t="s">
        <v>18</v>
      </c>
      <c r="D28" s="213" t="s">
        <v>19</v>
      </c>
      <c r="E28" s="214">
        <f>Source!I24</f>
        <v>1.3260000000000001</v>
      </c>
      <c r="F28" s="214"/>
      <c r="G28" s="214"/>
      <c r="H28" s="214"/>
      <c r="I28" s="214"/>
      <c r="J28" s="215"/>
      <c r="K28" s="215"/>
    </row>
    <row r="29" spans="1:255" ht="48" x14ac:dyDescent="0.2">
      <c r="A29" s="212" t="s">
        <v>38</v>
      </c>
      <c r="B29" s="213" t="s">
        <v>17</v>
      </c>
      <c r="C29" s="213" t="s">
        <v>39</v>
      </c>
      <c r="D29" s="213" t="s">
        <v>19</v>
      </c>
      <c r="E29" s="214">
        <f>Source!I26</f>
        <v>1.3260000000000001</v>
      </c>
      <c r="F29" s="214"/>
      <c r="G29" s="214"/>
      <c r="H29" s="214"/>
      <c r="I29" s="214"/>
      <c r="J29" s="215"/>
      <c r="K29" s="215"/>
    </row>
    <row r="30" spans="1:255" ht="48" x14ac:dyDescent="0.2">
      <c r="A30" s="212" t="s">
        <v>41</v>
      </c>
      <c r="B30" s="213" t="s">
        <v>42</v>
      </c>
      <c r="C30" s="213" t="s">
        <v>43</v>
      </c>
      <c r="D30" s="213" t="s">
        <v>44</v>
      </c>
      <c r="E30" s="214">
        <f>Source!I28</f>
        <v>2320.5</v>
      </c>
      <c r="F30" s="214"/>
      <c r="G30" s="214"/>
      <c r="H30" s="214"/>
      <c r="I30" s="214"/>
      <c r="J30" s="215"/>
      <c r="K30" s="215"/>
    </row>
    <row r="31" spans="1:255" ht="24" x14ac:dyDescent="0.2">
      <c r="A31" s="212" t="s">
        <v>50</v>
      </c>
      <c r="B31" s="213" t="s">
        <v>51</v>
      </c>
      <c r="C31" s="213" t="s">
        <v>52</v>
      </c>
      <c r="D31" s="213" t="s">
        <v>19</v>
      </c>
      <c r="E31" s="214">
        <f>Source!I29</f>
        <v>1.3260000000000001</v>
      </c>
      <c r="F31" s="214"/>
      <c r="G31" s="214"/>
      <c r="H31" s="214"/>
      <c r="I31" s="214"/>
      <c r="J31" s="215"/>
      <c r="K31" s="215"/>
    </row>
    <row r="32" spans="1:255" ht="36" x14ac:dyDescent="0.2">
      <c r="A32" s="212" t="s">
        <v>55</v>
      </c>
      <c r="B32" s="213" t="s">
        <v>56</v>
      </c>
      <c r="C32" s="213" t="s">
        <v>57</v>
      </c>
      <c r="D32" s="213" t="s">
        <v>58</v>
      </c>
      <c r="E32" s="214">
        <f>Source!I31</f>
        <v>0.254</v>
      </c>
      <c r="F32" s="214"/>
      <c r="G32" s="214"/>
      <c r="H32" s="214"/>
      <c r="I32" s="214"/>
      <c r="J32" s="215"/>
      <c r="K32" s="215"/>
    </row>
    <row r="33" spans="1:11" ht="24" x14ac:dyDescent="0.2">
      <c r="A33" s="212" t="s">
        <v>65</v>
      </c>
      <c r="B33" s="213" t="s">
        <v>66</v>
      </c>
      <c r="C33" s="213" t="s">
        <v>67</v>
      </c>
      <c r="D33" s="213" t="s">
        <v>68</v>
      </c>
      <c r="E33" s="214">
        <f>Source!I32</f>
        <v>5.0999999999999996</v>
      </c>
      <c r="F33" s="214"/>
      <c r="G33" s="214"/>
      <c r="H33" s="214"/>
      <c r="I33" s="214"/>
      <c r="J33" s="215"/>
      <c r="K33" s="215"/>
    </row>
    <row r="34" spans="1:11" ht="36" x14ac:dyDescent="0.2">
      <c r="A34" s="216"/>
      <c r="B34" s="204" t="s">
        <v>75</v>
      </c>
      <c r="C34" s="217" t="s">
        <v>76</v>
      </c>
      <c r="D34" s="204" t="s">
        <v>33</v>
      </c>
      <c r="E34" s="218"/>
      <c r="F34" s="218">
        <v>11</v>
      </c>
      <c r="G34" s="218">
        <f>F34*E33</f>
        <v>56.099999999999994</v>
      </c>
      <c r="H34" s="218">
        <f>G34</f>
        <v>56.099999999999994</v>
      </c>
      <c r="I34" s="219" t="str">
        <f>IF(AND((G34-H34)&lt;0,H34&gt;0),ABS(G34-H34)," ")</f>
        <v xml:space="preserve"> </v>
      </c>
      <c r="J34" s="220" t="str">
        <f>IF(AND((G34-H34)&gt;0, H34&gt;0),G34-H34," ")</f>
        <v xml:space="preserve"> </v>
      </c>
      <c r="K34" s="220"/>
    </row>
    <row r="35" spans="1:11" ht="36" x14ac:dyDescent="0.2">
      <c r="A35" s="212" t="s">
        <v>78</v>
      </c>
      <c r="B35" s="213" t="s">
        <v>79</v>
      </c>
      <c r="C35" s="213" t="s">
        <v>80</v>
      </c>
      <c r="D35" s="213" t="s">
        <v>81</v>
      </c>
      <c r="E35" s="214">
        <f>Source!I34</f>
        <v>4.42</v>
      </c>
      <c r="F35" s="214"/>
      <c r="G35" s="214"/>
      <c r="H35" s="214"/>
      <c r="I35" s="214"/>
      <c r="J35" s="215"/>
      <c r="K35" s="215"/>
    </row>
    <row r="36" spans="1:11" ht="24" x14ac:dyDescent="0.2">
      <c r="A36" s="216" t="s">
        <v>723</v>
      </c>
      <c r="B36" s="204" t="s">
        <v>367</v>
      </c>
      <c r="C36" s="217" t="s">
        <v>369</v>
      </c>
      <c r="D36" s="204" t="s">
        <v>33</v>
      </c>
      <c r="E36" s="218"/>
      <c r="F36" s="218">
        <v>7.8</v>
      </c>
      <c r="G36" s="218">
        <f>F36*E35</f>
        <v>34.475999999999999</v>
      </c>
      <c r="H36" s="218">
        <f>G36</f>
        <v>34.475999999999999</v>
      </c>
      <c r="I36" s="219" t="str">
        <f>IF(AND((G36-H36)&lt;0,H36&gt;0),ABS(G36-H36)," ")</f>
        <v xml:space="preserve"> </v>
      </c>
      <c r="J36" s="220" t="str">
        <f>IF(AND((G36-H36)&gt;0, H36&gt;0),G36-H36," ")</f>
        <v xml:space="preserve"> </v>
      </c>
      <c r="K36" s="220"/>
    </row>
    <row r="37" spans="1:11" ht="36" x14ac:dyDescent="0.2">
      <c r="A37" s="199"/>
      <c r="B37" s="200" t="s">
        <v>84</v>
      </c>
      <c r="C37" s="221" t="s">
        <v>85</v>
      </c>
      <c r="D37" s="200" t="s">
        <v>86</v>
      </c>
      <c r="E37" s="201"/>
      <c r="F37" s="201">
        <v>100</v>
      </c>
      <c r="G37" s="201">
        <f>F37*E35</f>
        <v>442</v>
      </c>
      <c r="H37" s="201">
        <f>G37</f>
        <v>442</v>
      </c>
      <c r="I37" s="201" t="str">
        <f>IF(AND((G37-H37)&lt;0,H37&gt;0),ABS(G37-H37)," ")</f>
        <v xml:space="preserve"> </v>
      </c>
      <c r="J37" s="222" t="str">
        <f>IF(AND((G37-H37)&gt;0, H37&gt;0),G37-H37," ")</f>
        <v xml:space="preserve"> </v>
      </c>
      <c r="K37" s="222"/>
    </row>
    <row r="38" spans="1:11" ht="48" x14ac:dyDescent="0.2">
      <c r="A38" s="212" t="s">
        <v>92</v>
      </c>
      <c r="B38" s="213" t="s">
        <v>93</v>
      </c>
      <c r="C38" s="213" t="s">
        <v>94</v>
      </c>
      <c r="D38" s="213" t="s">
        <v>68</v>
      </c>
      <c r="E38" s="214">
        <f>Source!I36</f>
        <v>1.95</v>
      </c>
      <c r="F38" s="214"/>
      <c r="G38" s="214"/>
      <c r="H38" s="214"/>
      <c r="I38" s="214"/>
      <c r="J38" s="215"/>
      <c r="K38" s="215"/>
    </row>
    <row r="39" spans="1:11" ht="24" x14ac:dyDescent="0.2">
      <c r="A39" s="216" t="s">
        <v>723</v>
      </c>
      <c r="B39" s="204" t="s">
        <v>375</v>
      </c>
      <c r="C39" s="217" t="s">
        <v>377</v>
      </c>
      <c r="D39" s="204" t="s">
        <v>129</v>
      </c>
      <c r="E39" s="218"/>
      <c r="F39" s="218">
        <v>0.1</v>
      </c>
      <c r="G39" s="218">
        <f>F39*E38</f>
        <v>0.19500000000000001</v>
      </c>
      <c r="H39" s="218">
        <f t="shared" ref="H39:H55" si="0">G39</f>
        <v>0.19500000000000001</v>
      </c>
      <c r="I39" s="219" t="str">
        <f t="shared" ref="I39:I55" si="1">IF(AND((G39-H39)&lt;0,H39&gt;0),ABS(G39-H39)," ")</f>
        <v xml:space="preserve"> </v>
      </c>
      <c r="J39" s="220" t="str">
        <f t="shared" ref="J39:J55" si="2">IF(AND((G39-H39)&gt;0, H39&gt;0),G39-H39," ")</f>
        <v xml:space="preserve"> </v>
      </c>
      <c r="K39" s="220"/>
    </row>
    <row r="40" spans="1:11" ht="36" x14ac:dyDescent="0.2">
      <c r="A40" s="216" t="s">
        <v>723</v>
      </c>
      <c r="B40" s="204" t="s">
        <v>378</v>
      </c>
      <c r="C40" s="217" t="s">
        <v>380</v>
      </c>
      <c r="D40" s="204" t="s">
        <v>129</v>
      </c>
      <c r="E40" s="218"/>
      <c r="F40" s="218">
        <v>1.7999999999999999E-2</v>
      </c>
      <c r="G40" s="218">
        <f>F40*E38</f>
        <v>3.5099999999999999E-2</v>
      </c>
      <c r="H40" s="218">
        <f t="shared" si="0"/>
        <v>3.5099999999999999E-2</v>
      </c>
      <c r="I40" s="219" t="str">
        <f t="shared" si="1"/>
        <v xml:space="preserve"> </v>
      </c>
      <c r="J40" s="220" t="str">
        <f t="shared" si="2"/>
        <v xml:space="preserve"> </v>
      </c>
      <c r="K40" s="220"/>
    </row>
    <row r="41" spans="1:11" ht="24" x14ac:dyDescent="0.2">
      <c r="A41" s="216" t="s">
        <v>723</v>
      </c>
      <c r="B41" s="204" t="s">
        <v>381</v>
      </c>
      <c r="C41" s="217" t="s">
        <v>383</v>
      </c>
      <c r="D41" s="204" t="s">
        <v>129</v>
      </c>
      <c r="E41" s="218"/>
      <c r="F41" s="218">
        <v>7.1999999999999995E-2</v>
      </c>
      <c r="G41" s="218">
        <f>F41*E38</f>
        <v>0.1404</v>
      </c>
      <c r="H41" s="218">
        <f t="shared" si="0"/>
        <v>0.1404</v>
      </c>
      <c r="I41" s="219" t="str">
        <f t="shared" si="1"/>
        <v xml:space="preserve"> </v>
      </c>
      <c r="J41" s="220" t="str">
        <f t="shared" si="2"/>
        <v xml:space="preserve"> </v>
      </c>
      <c r="K41" s="220"/>
    </row>
    <row r="42" spans="1:11" ht="24" x14ac:dyDescent="0.2">
      <c r="A42" s="216" t="s">
        <v>723</v>
      </c>
      <c r="B42" s="204" t="s">
        <v>384</v>
      </c>
      <c r="C42" s="217" t="s">
        <v>386</v>
      </c>
      <c r="D42" s="204" t="s">
        <v>129</v>
      </c>
      <c r="E42" s="218"/>
      <c r="F42" s="218">
        <v>1.7000000000000001E-2</v>
      </c>
      <c r="G42" s="218">
        <f>F42*E38</f>
        <v>3.3149999999999999E-2</v>
      </c>
      <c r="H42" s="218">
        <f t="shared" si="0"/>
        <v>3.3149999999999999E-2</v>
      </c>
      <c r="I42" s="219" t="str">
        <f t="shared" si="1"/>
        <v xml:space="preserve"> </v>
      </c>
      <c r="J42" s="220" t="str">
        <f t="shared" si="2"/>
        <v xml:space="preserve"> </v>
      </c>
      <c r="K42" s="220"/>
    </row>
    <row r="43" spans="1:11" ht="36" x14ac:dyDescent="0.2">
      <c r="A43" s="216" t="s">
        <v>723</v>
      </c>
      <c r="B43" s="204" t="s">
        <v>387</v>
      </c>
      <c r="C43" s="217" t="s">
        <v>389</v>
      </c>
      <c r="D43" s="204" t="s">
        <v>129</v>
      </c>
      <c r="E43" s="218"/>
      <c r="F43" s="218">
        <v>8.0000000000000002E-3</v>
      </c>
      <c r="G43" s="218">
        <f>F43*E38</f>
        <v>1.5599999999999999E-2</v>
      </c>
      <c r="H43" s="218">
        <f t="shared" si="0"/>
        <v>1.5599999999999999E-2</v>
      </c>
      <c r="I43" s="219" t="str">
        <f t="shared" si="1"/>
        <v xml:space="preserve"> </v>
      </c>
      <c r="J43" s="220" t="str">
        <f t="shared" si="2"/>
        <v xml:space="preserve"> </v>
      </c>
      <c r="K43" s="220"/>
    </row>
    <row r="44" spans="1:11" ht="24" x14ac:dyDescent="0.2">
      <c r="A44" s="216" t="s">
        <v>723</v>
      </c>
      <c r="B44" s="204" t="s">
        <v>390</v>
      </c>
      <c r="C44" s="217" t="s">
        <v>392</v>
      </c>
      <c r="D44" s="204" t="s">
        <v>33</v>
      </c>
      <c r="E44" s="218"/>
      <c r="F44" s="218">
        <v>1.25</v>
      </c>
      <c r="G44" s="218">
        <f>F44*E38</f>
        <v>2.4375</v>
      </c>
      <c r="H44" s="218">
        <f t="shared" si="0"/>
        <v>2.4375</v>
      </c>
      <c r="I44" s="219" t="str">
        <f t="shared" si="1"/>
        <v xml:space="preserve"> </v>
      </c>
      <c r="J44" s="220" t="str">
        <f t="shared" si="2"/>
        <v xml:space="preserve"> </v>
      </c>
      <c r="K44" s="220"/>
    </row>
    <row r="45" spans="1:11" ht="24" x14ac:dyDescent="0.2">
      <c r="A45" s="216" t="s">
        <v>723</v>
      </c>
      <c r="B45" s="204" t="s">
        <v>393</v>
      </c>
      <c r="C45" s="217" t="s">
        <v>395</v>
      </c>
      <c r="D45" s="204" t="s">
        <v>129</v>
      </c>
      <c r="E45" s="218"/>
      <c r="F45" s="218">
        <v>0.21</v>
      </c>
      <c r="G45" s="218">
        <f>F45*E38</f>
        <v>0.40949999999999998</v>
      </c>
      <c r="H45" s="218">
        <f t="shared" si="0"/>
        <v>0.40949999999999998</v>
      </c>
      <c r="I45" s="219" t="str">
        <f t="shared" si="1"/>
        <v xml:space="preserve"> </v>
      </c>
      <c r="J45" s="220" t="str">
        <f t="shared" si="2"/>
        <v xml:space="preserve"> </v>
      </c>
      <c r="K45" s="220"/>
    </row>
    <row r="46" spans="1:11" ht="24" x14ac:dyDescent="0.2">
      <c r="A46" s="216" t="s">
        <v>723</v>
      </c>
      <c r="B46" s="204" t="s">
        <v>396</v>
      </c>
      <c r="C46" s="217" t="s">
        <v>398</v>
      </c>
      <c r="D46" s="204" t="s">
        <v>33</v>
      </c>
      <c r="E46" s="218"/>
      <c r="F46" s="218">
        <v>4.4499999999999998E-2</v>
      </c>
      <c r="G46" s="218">
        <f>F46*E38</f>
        <v>8.6774999999999991E-2</v>
      </c>
      <c r="H46" s="218">
        <f t="shared" si="0"/>
        <v>8.6774999999999991E-2</v>
      </c>
      <c r="I46" s="219" t="str">
        <f t="shared" si="1"/>
        <v xml:space="preserve"> </v>
      </c>
      <c r="J46" s="220" t="str">
        <f t="shared" si="2"/>
        <v xml:space="preserve"> </v>
      </c>
      <c r="K46" s="220"/>
    </row>
    <row r="47" spans="1:11" ht="24" x14ac:dyDescent="0.2">
      <c r="A47" s="216" t="s">
        <v>723</v>
      </c>
      <c r="B47" s="204" t="s">
        <v>399</v>
      </c>
      <c r="C47" s="217" t="s">
        <v>401</v>
      </c>
      <c r="D47" s="204" t="s">
        <v>33</v>
      </c>
      <c r="E47" s="218"/>
      <c r="F47" s="218">
        <v>0.72</v>
      </c>
      <c r="G47" s="218">
        <f>F47*E38</f>
        <v>1.4039999999999999</v>
      </c>
      <c r="H47" s="218">
        <f t="shared" si="0"/>
        <v>1.4039999999999999</v>
      </c>
      <c r="I47" s="219" t="str">
        <f t="shared" si="1"/>
        <v xml:space="preserve"> </v>
      </c>
      <c r="J47" s="220" t="str">
        <f t="shared" si="2"/>
        <v xml:space="preserve"> </v>
      </c>
      <c r="K47" s="220"/>
    </row>
    <row r="48" spans="1:11" ht="36" x14ac:dyDescent="0.2">
      <c r="A48" s="216"/>
      <c r="B48" s="204" t="s">
        <v>97</v>
      </c>
      <c r="C48" s="217" t="s">
        <v>98</v>
      </c>
      <c r="D48" s="204" t="s">
        <v>99</v>
      </c>
      <c r="E48" s="218"/>
      <c r="F48" s="218">
        <v>7.6923076923076925</v>
      </c>
      <c r="G48" s="218">
        <f>F48*E38</f>
        <v>15</v>
      </c>
      <c r="H48" s="218">
        <f t="shared" si="0"/>
        <v>15</v>
      </c>
      <c r="I48" s="219" t="str">
        <f t="shared" si="1"/>
        <v xml:space="preserve"> </v>
      </c>
      <c r="J48" s="220" t="str">
        <f t="shared" si="2"/>
        <v xml:space="preserve"> </v>
      </c>
      <c r="K48" s="220"/>
    </row>
    <row r="49" spans="1:11" ht="36" x14ac:dyDescent="0.2">
      <c r="A49" s="216"/>
      <c r="B49" s="204" t="s">
        <v>107</v>
      </c>
      <c r="C49" s="217" t="s">
        <v>108</v>
      </c>
      <c r="D49" s="204" t="s">
        <v>99</v>
      </c>
      <c r="E49" s="218"/>
      <c r="F49" s="218">
        <v>7.6923076923076925</v>
      </c>
      <c r="G49" s="218">
        <f>F49*E38</f>
        <v>15</v>
      </c>
      <c r="H49" s="218">
        <f t="shared" si="0"/>
        <v>15</v>
      </c>
      <c r="I49" s="219" t="str">
        <f t="shared" si="1"/>
        <v xml:space="preserve"> </v>
      </c>
      <c r="J49" s="220" t="str">
        <f t="shared" si="2"/>
        <v xml:space="preserve"> </v>
      </c>
      <c r="K49" s="220"/>
    </row>
    <row r="50" spans="1:11" ht="36" x14ac:dyDescent="0.2">
      <c r="A50" s="216"/>
      <c r="B50" s="204" t="s">
        <v>111</v>
      </c>
      <c r="C50" s="217" t="s">
        <v>112</v>
      </c>
      <c r="D50" s="204" t="s">
        <v>99</v>
      </c>
      <c r="E50" s="218"/>
      <c r="F50" s="218">
        <v>7.6923076923076925</v>
      </c>
      <c r="G50" s="218">
        <f>F50*E38</f>
        <v>15</v>
      </c>
      <c r="H50" s="218">
        <f t="shared" si="0"/>
        <v>15</v>
      </c>
      <c r="I50" s="219" t="str">
        <f t="shared" si="1"/>
        <v xml:space="preserve"> </v>
      </c>
      <c r="J50" s="220" t="str">
        <f t="shared" si="2"/>
        <v xml:space="preserve"> </v>
      </c>
      <c r="K50" s="220"/>
    </row>
    <row r="51" spans="1:11" ht="36" x14ac:dyDescent="0.2">
      <c r="A51" s="216"/>
      <c r="B51" s="204" t="s">
        <v>115</v>
      </c>
      <c r="C51" s="217" t="s">
        <v>116</v>
      </c>
      <c r="D51" s="204" t="s">
        <v>99</v>
      </c>
      <c r="E51" s="218"/>
      <c r="F51" s="218">
        <v>7.6923076923076925</v>
      </c>
      <c r="G51" s="218">
        <f>F51*E38</f>
        <v>15</v>
      </c>
      <c r="H51" s="218">
        <f t="shared" si="0"/>
        <v>15</v>
      </c>
      <c r="I51" s="219" t="str">
        <f t="shared" si="1"/>
        <v xml:space="preserve"> </v>
      </c>
      <c r="J51" s="220" t="str">
        <f t="shared" si="2"/>
        <v xml:space="preserve"> </v>
      </c>
      <c r="K51" s="220"/>
    </row>
    <row r="52" spans="1:11" ht="36" x14ac:dyDescent="0.2">
      <c r="A52" s="216"/>
      <c r="B52" s="204" t="s">
        <v>119</v>
      </c>
      <c r="C52" s="217" t="s">
        <v>120</v>
      </c>
      <c r="D52" s="204" t="s">
        <v>99</v>
      </c>
      <c r="E52" s="218"/>
      <c r="F52" s="218">
        <v>7.6923076923076925</v>
      </c>
      <c r="G52" s="218">
        <f>F52*E38</f>
        <v>15</v>
      </c>
      <c r="H52" s="218">
        <f t="shared" si="0"/>
        <v>15</v>
      </c>
      <c r="I52" s="219" t="str">
        <f t="shared" si="1"/>
        <v xml:space="preserve"> </v>
      </c>
      <c r="J52" s="220" t="str">
        <f t="shared" si="2"/>
        <v xml:space="preserve"> </v>
      </c>
      <c r="K52" s="220"/>
    </row>
    <row r="53" spans="1:11" ht="24" x14ac:dyDescent="0.2">
      <c r="A53" s="216"/>
      <c r="B53" s="204" t="s">
        <v>123</v>
      </c>
      <c r="C53" s="217" t="s">
        <v>124</v>
      </c>
      <c r="D53" s="204" t="s">
        <v>99</v>
      </c>
      <c r="E53" s="218"/>
      <c r="F53" s="218">
        <v>7.6923076923076925</v>
      </c>
      <c r="G53" s="218">
        <f>F53*E38</f>
        <v>15</v>
      </c>
      <c r="H53" s="218">
        <f t="shared" si="0"/>
        <v>15</v>
      </c>
      <c r="I53" s="219" t="str">
        <f t="shared" si="1"/>
        <v xml:space="preserve"> </v>
      </c>
      <c r="J53" s="220" t="str">
        <f t="shared" si="2"/>
        <v xml:space="preserve"> </v>
      </c>
      <c r="K53" s="220"/>
    </row>
    <row r="54" spans="1:11" ht="36" x14ac:dyDescent="0.2">
      <c r="A54" s="216"/>
      <c r="B54" s="204" t="s">
        <v>127</v>
      </c>
      <c r="C54" s="217" t="s">
        <v>128</v>
      </c>
      <c r="D54" s="204" t="s">
        <v>129</v>
      </c>
      <c r="E54" s="218"/>
      <c r="F54" s="218">
        <v>9.3846153846153843E-2</v>
      </c>
      <c r="G54" s="218">
        <f>F54*E38</f>
        <v>0.183</v>
      </c>
      <c r="H54" s="218">
        <f t="shared" si="0"/>
        <v>0.183</v>
      </c>
      <c r="I54" s="219" t="str">
        <f t="shared" si="1"/>
        <v xml:space="preserve"> </v>
      </c>
      <c r="J54" s="220" t="str">
        <f t="shared" si="2"/>
        <v xml:space="preserve"> </v>
      </c>
      <c r="K54" s="220"/>
    </row>
    <row r="55" spans="1:11" ht="24" x14ac:dyDescent="0.2">
      <c r="A55" s="216"/>
      <c r="B55" s="204" t="s">
        <v>132</v>
      </c>
      <c r="C55" s="217" t="s">
        <v>133</v>
      </c>
      <c r="D55" s="204" t="s">
        <v>99</v>
      </c>
      <c r="E55" s="218"/>
      <c r="F55" s="218">
        <v>7.6923076923076925</v>
      </c>
      <c r="G55" s="218">
        <f>F55*E38</f>
        <v>15</v>
      </c>
      <c r="H55" s="218">
        <f t="shared" si="0"/>
        <v>15</v>
      </c>
      <c r="I55" s="219" t="str">
        <f t="shared" si="1"/>
        <v xml:space="preserve"> </v>
      </c>
      <c r="J55" s="220" t="str">
        <f t="shared" si="2"/>
        <v xml:space="preserve"> </v>
      </c>
      <c r="K55" s="220"/>
    </row>
    <row r="56" spans="1:11" ht="48" x14ac:dyDescent="0.2">
      <c r="A56" s="212" t="s">
        <v>137</v>
      </c>
      <c r="B56" s="213" t="s">
        <v>138</v>
      </c>
      <c r="C56" s="213" t="s">
        <v>139</v>
      </c>
      <c r="D56" s="213" t="s">
        <v>68</v>
      </c>
      <c r="E56" s="214">
        <f>Source!I47</f>
        <v>0.34</v>
      </c>
      <c r="F56" s="214"/>
      <c r="G56" s="214"/>
      <c r="H56" s="214"/>
      <c r="I56" s="214"/>
      <c r="J56" s="215"/>
      <c r="K56" s="215"/>
    </row>
    <row r="57" spans="1:11" ht="24" x14ac:dyDescent="0.2">
      <c r="A57" s="216" t="s">
        <v>723</v>
      </c>
      <c r="B57" s="204" t="s">
        <v>375</v>
      </c>
      <c r="C57" s="217" t="s">
        <v>377</v>
      </c>
      <c r="D57" s="204" t="s">
        <v>129</v>
      </c>
      <c r="E57" s="218"/>
      <c r="F57" s="218">
        <v>0.08</v>
      </c>
      <c r="G57" s="218">
        <f>F57*E56</f>
        <v>2.7200000000000002E-2</v>
      </c>
      <c r="H57" s="218">
        <f t="shared" ref="H57:H73" si="3">G57</f>
        <v>2.7200000000000002E-2</v>
      </c>
      <c r="I57" s="219" t="str">
        <f t="shared" ref="I57:I73" si="4">IF(AND((G57-H57)&lt;0,H57&gt;0),ABS(G57-H57)," ")</f>
        <v xml:space="preserve"> </v>
      </c>
      <c r="J57" s="220" t="str">
        <f t="shared" ref="J57:J73" si="5">IF(AND((G57-H57)&gt;0, H57&gt;0),G57-H57," ")</f>
        <v xml:space="preserve"> </v>
      </c>
      <c r="K57" s="220"/>
    </row>
    <row r="58" spans="1:11" ht="36" x14ac:dyDescent="0.2">
      <c r="A58" s="216" t="s">
        <v>723</v>
      </c>
      <c r="B58" s="204" t="s">
        <v>378</v>
      </c>
      <c r="C58" s="217" t="s">
        <v>380</v>
      </c>
      <c r="D58" s="204" t="s">
        <v>129</v>
      </c>
      <c r="E58" s="218"/>
      <c r="F58" s="218">
        <v>1.4999999999999999E-2</v>
      </c>
      <c r="G58" s="218">
        <f>F58*E56</f>
        <v>5.1000000000000004E-3</v>
      </c>
      <c r="H58" s="218">
        <f t="shared" si="3"/>
        <v>5.1000000000000004E-3</v>
      </c>
      <c r="I58" s="219" t="str">
        <f t="shared" si="4"/>
        <v xml:space="preserve"> </v>
      </c>
      <c r="J58" s="220" t="str">
        <f t="shared" si="5"/>
        <v xml:space="preserve"> </v>
      </c>
      <c r="K58" s="220"/>
    </row>
    <row r="59" spans="1:11" ht="24" x14ac:dyDescent="0.2">
      <c r="A59" s="216" t="s">
        <v>723</v>
      </c>
      <c r="B59" s="204" t="s">
        <v>381</v>
      </c>
      <c r="C59" s="217" t="s">
        <v>383</v>
      </c>
      <c r="D59" s="204" t="s">
        <v>129</v>
      </c>
      <c r="E59" s="218"/>
      <c r="F59" s="218">
        <v>0.06</v>
      </c>
      <c r="G59" s="218">
        <f>F59*E56</f>
        <v>2.0400000000000001E-2</v>
      </c>
      <c r="H59" s="218">
        <f t="shared" si="3"/>
        <v>2.0400000000000001E-2</v>
      </c>
      <c r="I59" s="219" t="str">
        <f t="shared" si="4"/>
        <v xml:space="preserve"> </v>
      </c>
      <c r="J59" s="220" t="str">
        <f t="shared" si="5"/>
        <v xml:space="preserve"> </v>
      </c>
      <c r="K59" s="220"/>
    </row>
    <row r="60" spans="1:11" ht="24" x14ac:dyDescent="0.2">
      <c r="A60" s="216" t="s">
        <v>723</v>
      </c>
      <c r="B60" s="204" t="s">
        <v>384</v>
      </c>
      <c r="C60" s="217" t="s">
        <v>386</v>
      </c>
      <c r="D60" s="204" t="s">
        <v>129</v>
      </c>
      <c r="E60" s="218"/>
      <c r="F60" s="218">
        <v>1.9E-2</v>
      </c>
      <c r="G60" s="218">
        <f>F60*E56</f>
        <v>6.4600000000000005E-3</v>
      </c>
      <c r="H60" s="218">
        <f t="shared" si="3"/>
        <v>6.4600000000000005E-3</v>
      </c>
      <c r="I60" s="219" t="str">
        <f t="shared" si="4"/>
        <v xml:space="preserve"> </v>
      </c>
      <c r="J60" s="220" t="str">
        <f t="shared" si="5"/>
        <v xml:space="preserve"> </v>
      </c>
      <c r="K60" s="220"/>
    </row>
    <row r="61" spans="1:11" ht="36" x14ac:dyDescent="0.2">
      <c r="A61" s="216" t="s">
        <v>723</v>
      </c>
      <c r="B61" s="204" t="s">
        <v>387</v>
      </c>
      <c r="C61" s="217" t="s">
        <v>389</v>
      </c>
      <c r="D61" s="204" t="s">
        <v>129</v>
      </c>
      <c r="E61" s="218"/>
      <c r="F61" s="218">
        <v>7.0000000000000001E-3</v>
      </c>
      <c r="G61" s="218">
        <f>F61*E56</f>
        <v>2.3800000000000002E-3</v>
      </c>
      <c r="H61" s="218">
        <f t="shared" si="3"/>
        <v>2.3800000000000002E-3</v>
      </c>
      <c r="I61" s="219" t="str">
        <f t="shared" si="4"/>
        <v xml:space="preserve"> </v>
      </c>
      <c r="J61" s="220" t="str">
        <f t="shared" si="5"/>
        <v xml:space="preserve"> </v>
      </c>
      <c r="K61" s="220"/>
    </row>
    <row r="62" spans="1:11" ht="24" x14ac:dyDescent="0.2">
      <c r="A62" s="216" t="s">
        <v>723</v>
      </c>
      <c r="B62" s="204" t="s">
        <v>390</v>
      </c>
      <c r="C62" s="217" t="s">
        <v>392</v>
      </c>
      <c r="D62" s="204" t="s">
        <v>33</v>
      </c>
      <c r="E62" s="218"/>
      <c r="F62" s="218">
        <v>1.01</v>
      </c>
      <c r="G62" s="218">
        <f>F62*E56</f>
        <v>0.34340000000000004</v>
      </c>
      <c r="H62" s="218">
        <f t="shared" si="3"/>
        <v>0.34340000000000004</v>
      </c>
      <c r="I62" s="219" t="str">
        <f t="shared" si="4"/>
        <v xml:space="preserve"> </v>
      </c>
      <c r="J62" s="220" t="str">
        <f t="shared" si="5"/>
        <v xml:space="preserve"> </v>
      </c>
      <c r="K62" s="220"/>
    </row>
    <row r="63" spans="1:11" ht="24" x14ac:dyDescent="0.2">
      <c r="A63" s="216" t="s">
        <v>723</v>
      </c>
      <c r="B63" s="204" t="s">
        <v>393</v>
      </c>
      <c r="C63" s="217" t="s">
        <v>395</v>
      </c>
      <c r="D63" s="204" t="s">
        <v>129</v>
      </c>
      <c r="E63" s="218"/>
      <c r="F63" s="218">
        <v>0.19</v>
      </c>
      <c r="G63" s="218">
        <f>F63*E56</f>
        <v>6.4600000000000005E-2</v>
      </c>
      <c r="H63" s="218">
        <f t="shared" si="3"/>
        <v>6.4600000000000005E-2</v>
      </c>
      <c r="I63" s="219" t="str">
        <f t="shared" si="4"/>
        <v xml:space="preserve"> </v>
      </c>
      <c r="J63" s="220" t="str">
        <f t="shared" si="5"/>
        <v xml:space="preserve"> </v>
      </c>
      <c r="K63" s="220"/>
    </row>
    <row r="64" spans="1:11" ht="24" x14ac:dyDescent="0.2">
      <c r="A64" s="216" t="s">
        <v>723</v>
      </c>
      <c r="B64" s="204" t="s">
        <v>396</v>
      </c>
      <c r="C64" s="217" t="s">
        <v>398</v>
      </c>
      <c r="D64" s="204" t="s">
        <v>33</v>
      </c>
      <c r="E64" s="218"/>
      <c r="F64" s="218">
        <v>3.7999999999999999E-2</v>
      </c>
      <c r="G64" s="218">
        <f>F64*E56</f>
        <v>1.2920000000000001E-2</v>
      </c>
      <c r="H64" s="218">
        <f t="shared" si="3"/>
        <v>1.2920000000000001E-2</v>
      </c>
      <c r="I64" s="219" t="str">
        <f t="shared" si="4"/>
        <v xml:space="preserve"> </v>
      </c>
      <c r="J64" s="220" t="str">
        <f t="shared" si="5"/>
        <v xml:space="preserve"> </v>
      </c>
      <c r="K64" s="220"/>
    </row>
    <row r="65" spans="1:11" ht="24" x14ac:dyDescent="0.2">
      <c r="A65" s="216" t="s">
        <v>723</v>
      </c>
      <c r="B65" s="204" t="s">
        <v>399</v>
      </c>
      <c r="C65" s="217" t="s">
        <v>401</v>
      </c>
      <c r="D65" s="204" t="s">
        <v>33</v>
      </c>
      <c r="E65" s="218"/>
      <c r="F65" s="218">
        <v>0.82</v>
      </c>
      <c r="G65" s="218">
        <f>F65*E56</f>
        <v>0.27879999999999999</v>
      </c>
      <c r="H65" s="218">
        <f t="shared" si="3"/>
        <v>0.27879999999999999</v>
      </c>
      <c r="I65" s="219" t="str">
        <f t="shared" si="4"/>
        <v xml:space="preserve"> </v>
      </c>
      <c r="J65" s="220" t="str">
        <f t="shared" si="5"/>
        <v xml:space="preserve"> </v>
      </c>
      <c r="K65" s="220"/>
    </row>
    <row r="66" spans="1:11" ht="36" x14ac:dyDescent="0.2">
      <c r="A66" s="216"/>
      <c r="B66" s="204" t="s">
        <v>142</v>
      </c>
      <c r="C66" s="217" t="s">
        <v>143</v>
      </c>
      <c r="D66" s="204" t="s">
        <v>99</v>
      </c>
      <c r="E66" s="218"/>
      <c r="F66" s="218">
        <v>2.9411764705882351</v>
      </c>
      <c r="G66" s="218">
        <f>F66*E56</f>
        <v>1</v>
      </c>
      <c r="H66" s="218">
        <f t="shared" si="3"/>
        <v>1</v>
      </c>
      <c r="I66" s="219" t="str">
        <f t="shared" si="4"/>
        <v xml:space="preserve"> </v>
      </c>
      <c r="J66" s="220" t="str">
        <f t="shared" si="5"/>
        <v xml:space="preserve"> </v>
      </c>
      <c r="K66" s="220"/>
    </row>
    <row r="67" spans="1:11" ht="36" x14ac:dyDescent="0.2">
      <c r="A67" s="216"/>
      <c r="B67" s="204" t="s">
        <v>146</v>
      </c>
      <c r="C67" s="217" t="s">
        <v>147</v>
      </c>
      <c r="D67" s="204" t="s">
        <v>99</v>
      </c>
      <c r="E67" s="218"/>
      <c r="F67" s="218">
        <v>5.8823529411764701</v>
      </c>
      <c r="G67" s="218">
        <f>F67*E56</f>
        <v>2</v>
      </c>
      <c r="H67" s="218">
        <f t="shared" si="3"/>
        <v>2</v>
      </c>
      <c r="I67" s="219" t="str">
        <f t="shared" si="4"/>
        <v xml:space="preserve"> </v>
      </c>
      <c r="J67" s="220" t="str">
        <f t="shared" si="5"/>
        <v xml:space="preserve"> </v>
      </c>
      <c r="K67" s="220"/>
    </row>
    <row r="68" spans="1:11" ht="36" x14ac:dyDescent="0.2">
      <c r="A68" s="216"/>
      <c r="B68" s="204" t="s">
        <v>150</v>
      </c>
      <c r="C68" s="217" t="s">
        <v>151</v>
      </c>
      <c r="D68" s="204" t="s">
        <v>99</v>
      </c>
      <c r="E68" s="218"/>
      <c r="F68" s="218">
        <v>2.9411764705882351</v>
      </c>
      <c r="G68" s="218">
        <f>F68*E56</f>
        <v>1</v>
      </c>
      <c r="H68" s="218">
        <f t="shared" si="3"/>
        <v>1</v>
      </c>
      <c r="I68" s="219" t="str">
        <f t="shared" si="4"/>
        <v xml:space="preserve"> </v>
      </c>
      <c r="J68" s="220" t="str">
        <f t="shared" si="5"/>
        <v xml:space="preserve"> </v>
      </c>
      <c r="K68" s="220"/>
    </row>
    <row r="69" spans="1:11" ht="36" x14ac:dyDescent="0.2">
      <c r="A69" s="216"/>
      <c r="B69" s="204" t="s">
        <v>115</v>
      </c>
      <c r="C69" s="217" t="s">
        <v>116</v>
      </c>
      <c r="D69" s="204" t="s">
        <v>99</v>
      </c>
      <c r="E69" s="218"/>
      <c r="F69" s="218">
        <v>2.9411764705882351</v>
      </c>
      <c r="G69" s="218">
        <f>F69*E56</f>
        <v>1</v>
      </c>
      <c r="H69" s="218">
        <f t="shared" si="3"/>
        <v>1</v>
      </c>
      <c r="I69" s="219" t="str">
        <f t="shared" si="4"/>
        <v xml:space="preserve"> </v>
      </c>
      <c r="J69" s="220" t="str">
        <f t="shared" si="5"/>
        <v xml:space="preserve"> </v>
      </c>
      <c r="K69" s="220"/>
    </row>
    <row r="70" spans="1:11" ht="24" x14ac:dyDescent="0.2">
      <c r="A70" s="216"/>
      <c r="B70" s="204" t="s">
        <v>155</v>
      </c>
      <c r="C70" s="217" t="s">
        <v>156</v>
      </c>
      <c r="D70" s="204" t="s">
        <v>33</v>
      </c>
      <c r="E70" s="218"/>
      <c r="F70" s="218">
        <v>0.45294117647058818</v>
      </c>
      <c r="G70" s="218">
        <f>F70*E56</f>
        <v>0.154</v>
      </c>
      <c r="H70" s="218">
        <f t="shared" si="3"/>
        <v>0.154</v>
      </c>
      <c r="I70" s="219" t="str">
        <f t="shared" si="4"/>
        <v xml:space="preserve"> </v>
      </c>
      <c r="J70" s="220" t="str">
        <f t="shared" si="5"/>
        <v xml:space="preserve"> </v>
      </c>
      <c r="K70" s="220"/>
    </row>
    <row r="71" spans="1:11" ht="36" x14ac:dyDescent="0.2">
      <c r="A71" s="216"/>
      <c r="B71" s="204" t="s">
        <v>127</v>
      </c>
      <c r="C71" s="217" t="s">
        <v>128</v>
      </c>
      <c r="D71" s="204" t="s">
        <v>129</v>
      </c>
      <c r="E71" s="218"/>
      <c r="F71" s="218">
        <v>4.7647058823529403E-2</v>
      </c>
      <c r="G71" s="218">
        <f>F71*E56</f>
        <v>1.6199999999999999E-2</v>
      </c>
      <c r="H71" s="218">
        <f t="shared" si="3"/>
        <v>1.6199999999999999E-2</v>
      </c>
      <c r="I71" s="219" t="str">
        <f t="shared" si="4"/>
        <v xml:space="preserve"> </v>
      </c>
      <c r="J71" s="220" t="str">
        <f t="shared" si="5"/>
        <v xml:space="preserve"> </v>
      </c>
      <c r="K71" s="220"/>
    </row>
    <row r="72" spans="1:11" ht="24" x14ac:dyDescent="0.2">
      <c r="A72" s="216"/>
      <c r="B72" s="204" t="s">
        <v>132</v>
      </c>
      <c r="C72" s="217" t="s">
        <v>133</v>
      </c>
      <c r="D72" s="204" t="s">
        <v>99</v>
      </c>
      <c r="E72" s="218"/>
      <c r="F72" s="218">
        <v>2.9411764705882351</v>
      </c>
      <c r="G72" s="218">
        <f>F72*E56</f>
        <v>1</v>
      </c>
      <c r="H72" s="218">
        <f t="shared" si="3"/>
        <v>1</v>
      </c>
      <c r="I72" s="219" t="str">
        <f t="shared" si="4"/>
        <v xml:space="preserve"> </v>
      </c>
      <c r="J72" s="220" t="str">
        <f t="shared" si="5"/>
        <v xml:space="preserve"> </v>
      </c>
      <c r="K72" s="220"/>
    </row>
    <row r="73" spans="1:11" ht="24" x14ac:dyDescent="0.2">
      <c r="A73" s="216"/>
      <c r="B73" s="204" t="s">
        <v>102</v>
      </c>
      <c r="C73" s="217" t="s">
        <v>103</v>
      </c>
      <c r="D73" s="204" t="s">
        <v>33</v>
      </c>
      <c r="E73" s="218"/>
      <c r="F73" s="218">
        <v>5.1999999999999993</v>
      </c>
      <c r="G73" s="218">
        <f>F73*E56</f>
        <v>1.7679999999999998</v>
      </c>
      <c r="H73" s="218">
        <f t="shared" si="3"/>
        <v>1.7679999999999998</v>
      </c>
      <c r="I73" s="219" t="str">
        <f t="shared" si="4"/>
        <v xml:space="preserve"> </v>
      </c>
      <c r="J73" s="220" t="str">
        <f t="shared" si="5"/>
        <v xml:space="preserve"> </v>
      </c>
      <c r="K73" s="220"/>
    </row>
    <row r="74" spans="1:11" ht="48" x14ac:dyDescent="0.2">
      <c r="A74" s="212" t="s">
        <v>162</v>
      </c>
      <c r="B74" s="213" t="s">
        <v>163</v>
      </c>
      <c r="C74" s="213" t="s">
        <v>164</v>
      </c>
      <c r="D74" s="213" t="s">
        <v>68</v>
      </c>
      <c r="E74" s="214">
        <f>Source!I57</f>
        <v>0.78</v>
      </c>
      <c r="F74" s="214"/>
      <c r="G74" s="214"/>
      <c r="H74" s="214"/>
      <c r="I74" s="214"/>
      <c r="J74" s="215"/>
      <c r="K74" s="215"/>
    </row>
    <row r="75" spans="1:11" ht="24" x14ac:dyDescent="0.2">
      <c r="A75" s="216" t="s">
        <v>723</v>
      </c>
      <c r="B75" s="204" t="s">
        <v>404</v>
      </c>
      <c r="C75" s="217" t="s">
        <v>406</v>
      </c>
      <c r="D75" s="204" t="s">
        <v>129</v>
      </c>
      <c r="E75" s="218"/>
      <c r="F75" s="218">
        <v>0.05</v>
      </c>
      <c r="G75" s="218">
        <f>F75*E74</f>
        <v>3.9000000000000007E-2</v>
      </c>
      <c r="H75" s="218">
        <f t="shared" ref="H75:H92" si="6">G75</f>
        <v>3.9000000000000007E-2</v>
      </c>
      <c r="I75" s="219" t="str">
        <f t="shared" ref="I75:I92" si="7">IF(AND((G75-H75)&lt;0,H75&gt;0),ABS(G75-H75)," ")</f>
        <v xml:space="preserve"> </v>
      </c>
      <c r="J75" s="220" t="str">
        <f t="shared" ref="J75:J92" si="8">IF(AND((G75-H75)&gt;0, H75&gt;0),G75-H75," ")</f>
        <v xml:space="preserve"> </v>
      </c>
      <c r="K75" s="220"/>
    </row>
    <row r="76" spans="1:11" ht="36" x14ac:dyDescent="0.2">
      <c r="A76" s="216" t="s">
        <v>723</v>
      </c>
      <c r="B76" s="204" t="s">
        <v>378</v>
      </c>
      <c r="C76" s="217" t="s">
        <v>380</v>
      </c>
      <c r="D76" s="204" t="s">
        <v>129</v>
      </c>
      <c r="E76" s="218"/>
      <c r="F76" s="218">
        <v>8.9999999999999993E-3</v>
      </c>
      <c r="G76" s="218">
        <f>F76*E74</f>
        <v>7.0199999999999993E-3</v>
      </c>
      <c r="H76" s="218">
        <f t="shared" si="6"/>
        <v>7.0199999999999993E-3</v>
      </c>
      <c r="I76" s="219" t="str">
        <f t="shared" si="7"/>
        <v xml:space="preserve"> </v>
      </c>
      <c r="J76" s="220" t="str">
        <f t="shared" si="8"/>
        <v xml:space="preserve"> </v>
      </c>
      <c r="K76" s="220"/>
    </row>
    <row r="77" spans="1:11" ht="24" x14ac:dyDescent="0.2">
      <c r="A77" s="216" t="s">
        <v>723</v>
      </c>
      <c r="B77" s="204" t="s">
        <v>367</v>
      </c>
      <c r="C77" s="217" t="s">
        <v>369</v>
      </c>
      <c r="D77" s="204" t="s">
        <v>33</v>
      </c>
      <c r="E77" s="218"/>
      <c r="F77" s="218">
        <v>6.9999999999999999E-4</v>
      </c>
      <c r="G77" s="218">
        <f>F77*E74</f>
        <v>5.4600000000000004E-4</v>
      </c>
      <c r="H77" s="218">
        <f t="shared" si="6"/>
        <v>5.4600000000000004E-4</v>
      </c>
      <c r="I77" s="219" t="str">
        <f t="shared" si="7"/>
        <v xml:space="preserve"> </v>
      </c>
      <c r="J77" s="220" t="str">
        <f t="shared" si="8"/>
        <v xml:space="preserve"> </v>
      </c>
      <c r="K77" s="220"/>
    </row>
    <row r="78" spans="1:11" ht="24" x14ac:dyDescent="0.2">
      <c r="A78" s="216" t="s">
        <v>723</v>
      </c>
      <c r="B78" s="204" t="s">
        <v>381</v>
      </c>
      <c r="C78" s="217" t="s">
        <v>383</v>
      </c>
      <c r="D78" s="204" t="s">
        <v>129</v>
      </c>
      <c r="E78" s="218"/>
      <c r="F78" s="218">
        <v>0.02</v>
      </c>
      <c r="G78" s="218">
        <f>F78*E74</f>
        <v>1.5600000000000001E-2</v>
      </c>
      <c r="H78" s="218">
        <f t="shared" si="6"/>
        <v>1.5600000000000001E-2</v>
      </c>
      <c r="I78" s="219" t="str">
        <f t="shared" si="7"/>
        <v xml:space="preserve"> </v>
      </c>
      <c r="J78" s="220" t="str">
        <f t="shared" si="8"/>
        <v xml:space="preserve"> </v>
      </c>
      <c r="K78" s="220"/>
    </row>
    <row r="79" spans="1:11" ht="24" x14ac:dyDescent="0.2">
      <c r="A79" s="216" t="s">
        <v>723</v>
      </c>
      <c r="B79" s="204" t="s">
        <v>407</v>
      </c>
      <c r="C79" s="217" t="s">
        <v>409</v>
      </c>
      <c r="D79" s="204" t="s">
        <v>129</v>
      </c>
      <c r="E79" s="218"/>
      <c r="F79" s="218">
        <v>2.0000000000000001E-4</v>
      </c>
      <c r="G79" s="218">
        <f>F79*E74</f>
        <v>1.5600000000000002E-4</v>
      </c>
      <c r="H79" s="218">
        <f t="shared" si="6"/>
        <v>1.5600000000000002E-4</v>
      </c>
      <c r="I79" s="219" t="str">
        <f t="shared" si="7"/>
        <v xml:space="preserve"> </v>
      </c>
      <c r="J79" s="220" t="str">
        <f t="shared" si="8"/>
        <v xml:space="preserve"> </v>
      </c>
      <c r="K79" s="220"/>
    </row>
    <row r="80" spans="1:11" ht="24" x14ac:dyDescent="0.2">
      <c r="A80" s="216" t="s">
        <v>723</v>
      </c>
      <c r="B80" s="204" t="s">
        <v>410</v>
      </c>
      <c r="C80" s="217" t="s">
        <v>412</v>
      </c>
      <c r="D80" s="204" t="s">
        <v>99</v>
      </c>
      <c r="E80" s="218"/>
      <c r="F80" s="218">
        <v>38.799999999999997</v>
      </c>
      <c r="G80" s="218">
        <f>F80*E74</f>
        <v>30.263999999999999</v>
      </c>
      <c r="H80" s="218">
        <f t="shared" si="6"/>
        <v>30.263999999999999</v>
      </c>
      <c r="I80" s="219" t="str">
        <f t="shared" si="7"/>
        <v xml:space="preserve"> </v>
      </c>
      <c r="J80" s="220" t="str">
        <f t="shared" si="8"/>
        <v xml:space="preserve"> </v>
      </c>
      <c r="K80" s="220"/>
    </row>
    <row r="81" spans="1:11" ht="24" x14ac:dyDescent="0.2">
      <c r="A81" s="216" t="s">
        <v>723</v>
      </c>
      <c r="B81" s="204" t="s">
        <v>413</v>
      </c>
      <c r="C81" s="217" t="s">
        <v>415</v>
      </c>
      <c r="D81" s="204" t="s">
        <v>129</v>
      </c>
      <c r="E81" s="218"/>
      <c r="F81" s="218">
        <v>2.5000000000000001E-4</v>
      </c>
      <c r="G81" s="218">
        <f>F81*E74</f>
        <v>1.9500000000000002E-4</v>
      </c>
      <c r="H81" s="218">
        <f t="shared" si="6"/>
        <v>1.9500000000000002E-4</v>
      </c>
      <c r="I81" s="219" t="str">
        <f t="shared" si="7"/>
        <v xml:space="preserve"> </v>
      </c>
      <c r="J81" s="220" t="str">
        <f t="shared" si="8"/>
        <v xml:space="preserve"> </v>
      </c>
      <c r="K81" s="220"/>
    </row>
    <row r="82" spans="1:11" ht="36" x14ac:dyDescent="0.2">
      <c r="A82" s="216" t="s">
        <v>723</v>
      </c>
      <c r="B82" s="204" t="s">
        <v>387</v>
      </c>
      <c r="C82" s="217" t="s">
        <v>389</v>
      </c>
      <c r="D82" s="204" t="s">
        <v>129</v>
      </c>
      <c r="E82" s="218"/>
      <c r="F82" s="218">
        <v>7.1000000000000004E-3</v>
      </c>
      <c r="G82" s="218">
        <f>F82*E74</f>
        <v>5.5380000000000004E-3</v>
      </c>
      <c r="H82" s="218">
        <f t="shared" si="6"/>
        <v>5.5380000000000004E-3</v>
      </c>
      <c r="I82" s="219" t="str">
        <f t="shared" si="7"/>
        <v xml:space="preserve"> </v>
      </c>
      <c r="J82" s="220" t="str">
        <f t="shared" si="8"/>
        <v xml:space="preserve"> </v>
      </c>
      <c r="K82" s="220"/>
    </row>
    <row r="83" spans="1:11" ht="24" x14ac:dyDescent="0.2">
      <c r="A83" s="216" t="s">
        <v>723</v>
      </c>
      <c r="B83" s="204" t="s">
        <v>390</v>
      </c>
      <c r="C83" s="217" t="s">
        <v>392</v>
      </c>
      <c r="D83" s="204" t="s">
        <v>33</v>
      </c>
      <c r="E83" s="218"/>
      <c r="F83" s="218">
        <v>1.41</v>
      </c>
      <c r="G83" s="218">
        <f>F83*E74</f>
        <v>1.0997999999999999</v>
      </c>
      <c r="H83" s="218">
        <f t="shared" si="6"/>
        <v>1.0997999999999999</v>
      </c>
      <c r="I83" s="219" t="str">
        <f t="shared" si="7"/>
        <v xml:space="preserve"> </v>
      </c>
      <c r="J83" s="220" t="str">
        <f t="shared" si="8"/>
        <v xml:space="preserve"> </v>
      </c>
      <c r="K83" s="220"/>
    </row>
    <row r="84" spans="1:11" ht="24" x14ac:dyDescent="0.2">
      <c r="A84" s="216" t="s">
        <v>723</v>
      </c>
      <c r="B84" s="204" t="s">
        <v>393</v>
      </c>
      <c r="C84" s="217" t="s">
        <v>395</v>
      </c>
      <c r="D84" s="204" t="s">
        <v>129</v>
      </c>
      <c r="E84" s="218"/>
      <c r="F84" s="218">
        <v>0.24</v>
      </c>
      <c r="G84" s="218">
        <f>F84*E74</f>
        <v>0.18720000000000001</v>
      </c>
      <c r="H84" s="218">
        <f t="shared" si="6"/>
        <v>0.18720000000000001</v>
      </c>
      <c r="I84" s="219" t="str">
        <f t="shared" si="7"/>
        <v xml:space="preserve"> </v>
      </c>
      <c r="J84" s="220" t="str">
        <f t="shared" si="8"/>
        <v xml:space="preserve"> </v>
      </c>
      <c r="K84" s="220"/>
    </row>
    <row r="85" spans="1:11" ht="24" x14ac:dyDescent="0.2">
      <c r="A85" s="216" t="s">
        <v>723</v>
      </c>
      <c r="B85" s="204" t="s">
        <v>396</v>
      </c>
      <c r="C85" s="217" t="s">
        <v>398</v>
      </c>
      <c r="D85" s="204" t="s">
        <v>33</v>
      </c>
      <c r="E85" s="218"/>
      <c r="F85" s="218">
        <v>4.4999999999999998E-2</v>
      </c>
      <c r="G85" s="218">
        <f>F85*E74</f>
        <v>3.5099999999999999E-2</v>
      </c>
      <c r="H85" s="218">
        <f t="shared" si="6"/>
        <v>3.5099999999999999E-2</v>
      </c>
      <c r="I85" s="219" t="str">
        <f t="shared" si="7"/>
        <v xml:space="preserve"> </v>
      </c>
      <c r="J85" s="220" t="str">
        <f t="shared" si="8"/>
        <v xml:space="preserve"> </v>
      </c>
      <c r="K85" s="220"/>
    </row>
    <row r="86" spans="1:11" ht="24" x14ac:dyDescent="0.2">
      <c r="A86" s="216" t="s">
        <v>723</v>
      </c>
      <c r="B86" s="204" t="s">
        <v>416</v>
      </c>
      <c r="C86" s="217" t="s">
        <v>418</v>
      </c>
      <c r="D86" s="204" t="s">
        <v>33</v>
      </c>
      <c r="E86" s="218"/>
      <c r="F86" s="218">
        <v>0.4</v>
      </c>
      <c r="G86" s="218">
        <f>F86*E74</f>
        <v>0.31200000000000006</v>
      </c>
      <c r="H86" s="218">
        <f t="shared" si="6"/>
        <v>0.31200000000000006</v>
      </c>
      <c r="I86" s="219" t="str">
        <f t="shared" si="7"/>
        <v xml:space="preserve"> </v>
      </c>
      <c r="J86" s="220" t="str">
        <f t="shared" si="8"/>
        <v xml:space="preserve"> </v>
      </c>
      <c r="K86" s="220"/>
    </row>
    <row r="87" spans="1:11" ht="36" x14ac:dyDescent="0.2">
      <c r="A87" s="216" t="s">
        <v>723</v>
      </c>
      <c r="B87" s="204" t="s">
        <v>419</v>
      </c>
      <c r="C87" s="217" t="s">
        <v>421</v>
      </c>
      <c r="D87" s="204" t="s">
        <v>33</v>
      </c>
      <c r="E87" s="218"/>
      <c r="F87" s="218">
        <v>1.6E-2</v>
      </c>
      <c r="G87" s="218">
        <f>F87*E74</f>
        <v>1.2480000000000002E-2</v>
      </c>
      <c r="H87" s="218">
        <f t="shared" si="6"/>
        <v>1.2480000000000002E-2</v>
      </c>
      <c r="I87" s="219" t="str">
        <f t="shared" si="7"/>
        <v xml:space="preserve"> </v>
      </c>
      <c r="J87" s="220" t="str">
        <f t="shared" si="8"/>
        <v xml:space="preserve"> </v>
      </c>
      <c r="K87" s="220"/>
    </row>
    <row r="88" spans="1:11" ht="36" x14ac:dyDescent="0.2">
      <c r="A88" s="216"/>
      <c r="B88" s="204" t="s">
        <v>97</v>
      </c>
      <c r="C88" s="217" t="s">
        <v>98</v>
      </c>
      <c r="D88" s="204" t="s">
        <v>99</v>
      </c>
      <c r="E88" s="218"/>
      <c r="F88" s="218">
        <v>14.102564102564102</v>
      </c>
      <c r="G88" s="218">
        <f>F88*E74</f>
        <v>11</v>
      </c>
      <c r="H88" s="218">
        <f t="shared" si="6"/>
        <v>11</v>
      </c>
      <c r="I88" s="219" t="str">
        <f t="shared" si="7"/>
        <v xml:space="preserve"> </v>
      </c>
      <c r="J88" s="220" t="str">
        <f t="shared" si="8"/>
        <v xml:space="preserve"> </v>
      </c>
      <c r="K88" s="220"/>
    </row>
    <row r="89" spans="1:11" ht="36" x14ac:dyDescent="0.2">
      <c r="A89" s="216"/>
      <c r="B89" s="204" t="s">
        <v>168</v>
      </c>
      <c r="C89" s="217" t="s">
        <v>169</v>
      </c>
      <c r="D89" s="204" t="s">
        <v>99</v>
      </c>
      <c r="E89" s="218"/>
      <c r="F89" s="218">
        <v>14.102564102564102</v>
      </c>
      <c r="G89" s="218">
        <f>F89*E74</f>
        <v>11</v>
      </c>
      <c r="H89" s="218">
        <f t="shared" si="6"/>
        <v>11</v>
      </c>
      <c r="I89" s="219" t="str">
        <f t="shared" si="7"/>
        <v xml:space="preserve"> </v>
      </c>
      <c r="J89" s="220" t="str">
        <f t="shared" si="8"/>
        <v xml:space="preserve"> </v>
      </c>
      <c r="K89" s="220"/>
    </row>
    <row r="90" spans="1:11" ht="36" x14ac:dyDescent="0.2">
      <c r="A90" s="216"/>
      <c r="B90" s="204" t="s">
        <v>172</v>
      </c>
      <c r="C90" s="217" t="s">
        <v>173</v>
      </c>
      <c r="D90" s="204" t="s">
        <v>33</v>
      </c>
      <c r="E90" s="218"/>
      <c r="F90" s="218">
        <v>1.2692307692307692</v>
      </c>
      <c r="G90" s="218">
        <f>F90*E74</f>
        <v>0.99</v>
      </c>
      <c r="H90" s="218">
        <f t="shared" si="6"/>
        <v>0.99</v>
      </c>
      <c r="I90" s="219" t="str">
        <f t="shared" si="7"/>
        <v xml:space="preserve"> </v>
      </c>
      <c r="J90" s="220" t="str">
        <f t="shared" si="8"/>
        <v xml:space="preserve"> </v>
      </c>
      <c r="K90" s="220"/>
    </row>
    <row r="91" spans="1:11" ht="24" x14ac:dyDescent="0.2">
      <c r="A91" s="216"/>
      <c r="B91" s="204" t="s">
        <v>176</v>
      </c>
      <c r="C91" s="217" t="s">
        <v>177</v>
      </c>
      <c r="D91" s="204" t="s">
        <v>99</v>
      </c>
      <c r="E91" s="218"/>
      <c r="F91" s="218">
        <v>14.102564102564102</v>
      </c>
      <c r="G91" s="218">
        <f>F91*E74</f>
        <v>11</v>
      </c>
      <c r="H91" s="218">
        <f t="shared" si="6"/>
        <v>11</v>
      </c>
      <c r="I91" s="219" t="str">
        <f t="shared" si="7"/>
        <v xml:space="preserve"> </v>
      </c>
      <c r="J91" s="220" t="str">
        <f t="shared" si="8"/>
        <v xml:space="preserve"> </v>
      </c>
      <c r="K91" s="220"/>
    </row>
    <row r="92" spans="1:11" ht="24" x14ac:dyDescent="0.2">
      <c r="A92" s="216"/>
      <c r="B92" s="204" t="s">
        <v>102</v>
      </c>
      <c r="C92" s="217" t="s">
        <v>103</v>
      </c>
      <c r="D92" s="204" t="s">
        <v>33</v>
      </c>
      <c r="E92" s="218"/>
      <c r="F92" s="218">
        <v>3.0320512820512824</v>
      </c>
      <c r="G92" s="218">
        <f>F92*E74</f>
        <v>2.3650000000000002</v>
      </c>
      <c r="H92" s="218">
        <f t="shared" si="6"/>
        <v>2.3650000000000002</v>
      </c>
      <c r="I92" s="219" t="str">
        <f t="shared" si="7"/>
        <v xml:space="preserve"> </v>
      </c>
      <c r="J92" s="220" t="str">
        <f t="shared" si="8"/>
        <v xml:space="preserve"> </v>
      </c>
      <c r="K92" s="220"/>
    </row>
    <row r="93" spans="1:11" ht="36" x14ac:dyDescent="0.2">
      <c r="A93" s="212" t="s">
        <v>182</v>
      </c>
      <c r="B93" s="213" t="s">
        <v>183</v>
      </c>
      <c r="C93" s="213" t="s">
        <v>184</v>
      </c>
      <c r="D93" s="213" t="s">
        <v>99</v>
      </c>
      <c r="E93" s="214">
        <f>Source!I64</f>
        <v>1</v>
      </c>
      <c r="F93" s="214"/>
      <c r="G93" s="214"/>
      <c r="H93" s="214"/>
      <c r="I93" s="214"/>
      <c r="J93" s="215"/>
      <c r="K93" s="215"/>
    </row>
    <row r="94" spans="1:11" ht="24" x14ac:dyDescent="0.2">
      <c r="A94" s="216" t="s">
        <v>723</v>
      </c>
      <c r="B94" s="204" t="s">
        <v>434</v>
      </c>
      <c r="C94" s="217" t="s">
        <v>436</v>
      </c>
      <c r="D94" s="204" t="s">
        <v>33</v>
      </c>
      <c r="E94" s="218"/>
      <c r="F94" s="218">
        <v>1.4</v>
      </c>
      <c r="G94" s="218">
        <f>F94*E93</f>
        <v>1.4</v>
      </c>
      <c r="H94" s="218">
        <f t="shared" ref="H94:H101" si="9">G94</f>
        <v>1.4</v>
      </c>
      <c r="I94" s="219" t="str">
        <f t="shared" ref="I94:I101" si="10">IF(AND((G94-H94)&lt;0,H94&gt;0),ABS(G94-H94)," ")</f>
        <v xml:space="preserve"> </v>
      </c>
      <c r="J94" s="220" t="str">
        <f t="shared" ref="J94:J101" si="11">IF(AND((G94-H94)&gt;0, H94&gt;0),G94-H94," ")</f>
        <v xml:space="preserve"> </v>
      </c>
      <c r="K94" s="220"/>
    </row>
    <row r="95" spans="1:11" ht="24" x14ac:dyDescent="0.2">
      <c r="A95" s="216" t="s">
        <v>723</v>
      </c>
      <c r="B95" s="204" t="s">
        <v>437</v>
      </c>
      <c r="C95" s="217" t="s">
        <v>439</v>
      </c>
      <c r="D95" s="204" t="s">
        <v>440</v>
      </c>
      <c r="E95" s="218"/>
      <c r="F95" s="218">
        <v>0.24</v>
      </c>
      <c r="G95" s="218">
        <f>F95*E93</f>
        <v>0.24</v>
      </c>
      <c r="H95" s="218">
        <f t="shared" si="9"/>
        <v>0.24</v>
      </c>
      <c r="I95" s="219" t="str">
        <f t="shared" si="10"/>
        <v xml:space="preserve"> </v>
      </c>
      <c r="J95" s="220" t="str">
        <f t="shared" si="11"/>
        <v xml:space="preserve"> </v>
      </c>
      <c r="K95" s="220"/>
    </row>
    <row r="96" spans="1:11" ht="24" x14ac:dyDescent="0.2">
      <c r="A96" s="216" t="s">
        <v>723</v>
      </c>
      <c r="B96" s="204" t="s">
        <v>441</v>
      </c>
      <c r="C96" s="217" t="s">
        <v>443</v>
      </c>
      <c r="D96" s="204" t="s">
        <v>129</v>
      </c>
      <c r="E96" s="218"/>
      <c r="F96" s="218">
        <v>3.5000000000000001E-3</v>
      </c>
      <c r="G96" s="218">
        <f>F96*E93</f>
        <v>3.5000000000000001E-3</v>
      </c>
      <c r="H96" s="218">
        <f t="shared" si="9"/>
        <v>3.5000000000000001E-3</v>
      </c>
      <c r="I96" s="219" t="str">
        <f t="shared" si="10"/>
        <v xml:space="preserve"> </v>
      </c>
      <c r="J96" s="220" t="str">
        <f t="shared" si="11"/>
        <v xml:space="preserve"> </v>
      </c>
      <c r="K96" s="220"/>
    </row>
    <row r="97" spans="1:255" ht="24" x14ac:dyDescent="0.2">
      <c r="A97" s="216" t="s">
        <v>723</v>
      </c>
      <c r="B97" s="204" t="s">
        <v>444</v>
      </c>
      <c r="C97" s="217" t="s">
        <v>446</v>
      </c>
      <c r="D97" s="204" t="s">
        <v>440</v>
      </c>
      <c r="E97" s="218"/>
      <c r="F97" s="218">
        <v>15.2</v>
      </c>
      <c r="G97" s="218">
        <f>F97*E93</f>
        <v>15.2</v>
      </c>
      <c r="H97" s="218">
        <f t="shared" si="9"/>
        <v>15.2</v>
      </c>
      <c r="I97" s="219" t="str">
        <f t="shared" si="10"/>
        <v xml:space="preserve"> </v>
      </c>
      <c r="J97" s="220" t="str">
        <f t="shared" si="11"/>
        <v xml:space="preserve"> </v>
      </c>
      <c r="K97" s="220"/>
    </row>
    <row r="98" spans="1:255" ht="24" x14ac:dyDescent="0.2">
      <c r="A98" s="216" t="s">
        <v>723</v>
      </c>
      <c r="B98" s="204" t="s">
        <v>447</v>
      </c>
      <c r="C98" s="217" t="s">
        <v>449</v>
      </c>
      <c r="D98" s="204" t="s">
        <v>440</v>
      </c>
      <c r="E98" s="218"/>
      <c r="F98" s="218">
        <v>2</v>
      </c>
      <c r="G98" s="218">
        <f>F98*E93</f>
        <v>2</v>
      </c>
      <c r="H98" s="218">
        <f t="shared" si="9"/>
        <v>2</v>
      </c>
      <c r="I98" s="219" t="str">
        <f t="shared" si="10"/>
        <v xml:space="preserve"> </v>
      </c>
      <c r="J98" s="220" t="str">
        <f t="shared" si="11"/>
        <v xml:space="preserve"> </v>
      </c>
      <c r="K98" s="220"/>
    </row>
    <row r="99" spans="1:255" ht="24" x14ac:dyDescent="0.2">
      <c r="A99" s="216" t="s">
        <v>723</v>
      </c>
      <c r="B99" s="204" t="s">
        <v>450</v>
      </c>
      <c r="C99" s="217" t="s">
        <v>452</v>
      </c>
      <c r="D99" s="204" t="s">
        <v>99</v>
      </c>
      <c r="E99" s="218"/>
      <c r="F99" s="218">
        <v>2</v>
      </c>
      <c r="G99" s="218">
        <f>F99*E93</f>
        <v>2</v>
      </c>
      <c r="H99" s="218">
        <f t="shared" si="9"/>
        <v>2</v>
      </c>
      <c r="I99" s="219" t="str">
        <f t="shared" si="10"/>
        <v xml:space="preserve"> </v>
      </c>
      <c r="J99" s="220" t="str">
        <f t="shared" si="11"/>
        <v xml:space="preserve"> </v>
      </c>
      <c r="K99" s="220"/>
    </row>
    <row r="100" spans="1:255" ht="24" x14ac:dyDescent="0.2">
      <c r="A100" s="216" t="s">
        <v>723</v>
      </c>
      <c r="B100" s="204" t="s">
        <v>453</v>
      </c>
      <c r="C100" s="217" t="s">
        <v>454</v>
      </c>
      <c r="D100" s="204" t="s">
        <v>455</v>
      </c>
      <c r="E100" s="218"/>
      <c r="F100" s="218">
        <v>3.62</v>
      </c>
      <c r="G100" s="218">
        <f>F100*E93</f>
        <v>3.62</v>
      </c>
      <c r="H100" s="218">
        <f t="shared" si="9"/>
        <v>3.62</v>
      </c>
      <c r="I100" s="219" t="str">
        <f t="shared" si="10"/>
        <v xml:space="preserve"> </v>
      </c>
      <c r="J100" s="220" t="str">
        <f t="shared" si="11"/>
        <v xml:space="preserve"> </v>
      </c>
      <c r="K100" s="220"/>
    </row>
    <row r="101" spans="1:255" x14ac:dyDescent="0.2">
      <c r="A101" s="199"/>
      <c r="B101" s="200" t="s">
        <v>84</v>
      </c>
      <c r="C101" s="221" t="s">
        <v>192</v>
      </c>
      <c r="D101" s="200" t="s">
        <v>193</v>
      </c>
      <c r="E101" s="201"/>
      <c r="F101" s="201">
        <v>1</v>
      </c>
      <c r="G101" s="201">
        <f>F101*E93</f>
        <v>1</v>
      </c>
      <c r="H101" s="201">
        <f t="shared" si="9"/>
        <v>1</v>
      </c>
      <c r="I101" s="201" t="str">
        <f t="shared" si="10"/>
        <v xml:space="preserve"> </v>
      </c>
      <c r="J101" s="222" t="str">
        <f t="shared" si="11"/>
        <v xml:space="preserve"> </v>
      </c>
      <c r="K101" s="222"/>
    </row>
    <row r="102" spans="1:255" ht="24" x14ac:dyDescent="0.2">
      <c r="A102" s="212" t="s">
        <v>195</v>
      </c>
      <c r="B102" s="213" t="s">
        <v>196</v>
      </c>
      <c r="C102" s="213" t="s">
        <v>197</v>
      </c>
      <c r="D102" s="213" t="s">
        <v>198</v>
      </c>
      <c r="E102" s="214">
        <f>Source!I66</f>
        <v>0.442</v>
      </c>
      <c r="F102" s="214"/>
      <c r="G102" s="214"/>
      <c r="H102" s="214"/>
      <c r="I102" s="214"/>
      <c r="J102" s="215"/>
      <c r="K102" s="215"/>
    </row>
    <row r="103" spans="1:255" ht="24" x14ac:dyDescent="0.2">
      <c r="A103" s="216" t="s">
        <v>723</v>
      </c>
      <c r="B103" s="204" t="s">
        <v>367</v>
      </c>
      <c r="C103" s="217" t="s">
        <v>369</v>
      </c>
      <c r="D103" s="204" t="s">
        <v>33</v>
      </c>
      <c r="E103" s="218"/>
      <c r="F103" s="218">
        <v>256</v>
      </c>
      <c r="G103" s="218">
        <f>F103*E102</f>
        <v>113.152</v>
      </c>
      <c r="H103" s="218">
        <f>G103</f>
        <v>113.152</v>
      </c>
      <c r="I103" s="219" t="str">
        <f>IF(AND((G103-H103)&lt;0,H103&gt;0),ABS(G103-H103)," ")</f>
        <v xml:space="preserve"> </v>
      </c>
      <c r="J103" s="220" t="str">
        <f>IF(AND((G103-H103)&gt;0, H103&gt;0),G103-H103," ")</f>
        <v xml:space="preserve"> </v>
      </c>
      <c r="K103" s="220"/>
    </row>
    <row r="104" spans="1:255" ht="24" x14ac:dyDescent="0.2">
      <c r="A104" s="212" t="s">
        <v>205</v>
      </c>
      <c r="B104" s="213" t="s">
        <v>206</v>
      </c>
      <c r="C104" s="213" t="s">
        <v>207</v>
      </c>
      <c r="D104" s="213" t="s">
        <v>58</v>
      </c>
      <c r="E104" s="214">
        <f>Source!I68</f>
        <v>3.82</v>
      </c>
      <c r="F104" s="214"/>
      <c r="G104" s="214"/>
      <c r="H104" s="214"/>
      <c r="I104" s="214"/>
      <c r="J104" s="215"/>
      <c r="K104" s="215"/>
    </row>
    <row r="105" spans="1:255" ht="36" x14ac:dyDescent="0.2">
      <c r="A105" s="216"/>
      <c r="B105" s="204" t="s">
        <v>75</v>
      </c>
      <c r="C105" s="217" t="s">
        <v>76</v>
      </c>
      <c r="D105" s="204" t="s">
        <v>33</v>
      </c>
      <c r="E105" s="218"/>
      <c r="F105" s="218">
        <v>110</v>
      </c>
      <c r="G105" s="218">
        <f>F105*E104</f>
        <v>420.2</v>
      </c>
      <c r="H105" s="218">
        <f>G105</f>
        <v>420.2</v>
      </c>
      <c r="I105" s="219" t="str">
        <f>IF(AND((G105-H105)&lt;0,H105&gt;0),ABS(G105-H105)," ")</f>
        <v xml:space="preserve"> </v>
      </c>
      <c r="J105" s="220" t="str">
        <f>IF(AND((G105-H105)&gt;0, H105&gt;0),G105-H105," ")</f>
        <v xml:space="preserve"> </v>
      </c>
      <c r="K105" s="220"/>
    </row>
    <row r="106" spans="1:255" ht="48" x14ac:dyDescent="0.2">
      <c r="A106" s="212" t="s">
        <v>210</v>
      </c>
      <c r="B106" s="213" t="s">
        <v>211</v>
      </c>
      <c r="C106" s="213" t="s">
        <v>212</v>
      </c>
      <c r="D106" s="213" t="s">
        <v>19</v>
      </c>
      <c r="E106" s="214">
        <f>Source!I70</f>
        <v>1.5069999999999999</v>
      </c>
      <c r="F106" s="214"/>
      <c r="G106" s="214"/>
      <c r="H106" s="214"/>
      <c r="I106" s="214"/>
      <c r="J106" s="215"/>
      <c r="K106" s="215"/>
    </row>
    <row r="107" spans="1:255" ht="24" x14ac:dyDescent="0.2">
      <c r="A107" s="212" t="s">
        <v>214</v>
      </c>
      <c r="B107" s="213" t="s">
        <v>215</v>
      </c>
      <c r="C107" s="213" t="s">
        <v>216</v>
      </c>
      <c r="D107" s="213" t="s">
        <v>58</v>
      </c>
      <c r="E107" s="214">
        <f>Source!I71</f>
        <v>15.07</v>
      </c>
      <c r="F107" s="214"/>
      <c r="G107" s="214"/>
      <c r="H107" s="214"/>
      <c r="I107" s="214"/>
      <c r="J107" s="215"/>
      <c r="K107" s="215"/>
    </row>
    <row r="110" spans="1:255" ht="22.5" x14ac:dyDescent="0.2">
      <c r="A110" s="163" t="s">
        <v>655</v>
      </c>
      <c r="B110" s="163"/>
      <c r="C110" s="181" t="s">
        <v>656</v>
      </c>
      <c r="D110" s="164"/>
      <c r="E110" s="164"/>
      <c r="F110" s="223" t="s">
        <v>657</v>
      </c>
      <c r="G110" s="223"/>
      <c r="BY110" s="165" t="str">
        <f>C110</f>
        <v>Ведущий инженер-сметчик ООО "ОДСК-Инжиниринг"</v>
      </c>
      <c r="BZ110" s="165" t="str">
        <f>F110</f>
        <v>Мамаева Е.М.</v>
      </c>
      <c r="IU110" s="21"/>
    </row>
    <row r="111" spans="1:255" s="206" customFormat="1" ht="11.25" x14ac:dyDescent="0.2">
      <c r="A111" s="205"/>
      <c r="B111" s="205"/>
      <c r="C111" s="224" t="s">
        <v>651</v>
      </c>
      <c r="D111" s="224"/>
      <c r="E111" s="224"/>
      <c r="F111" s="224" t="s">
        <v>652</v>
      </c>
      <c r="G111" s="224"/>
    </row>
    <row r="112" spans="1:255" x14ac:dyDescent="0.2">
      <c r="A112" s="16"/>
      <c r="B112" s="16"/>
      <c r="C112" s="16"/>
      <c r="D112" s="9" t="s">
        <v>653</v>
      </c>
      <c r="E112" s="16"/>
      <c r="F112" s="16"/>
      <c r="G112" s="16"/>
    </row>
    <row r="113" spans="1:255" ht="22.5" x14ac:dyDescent="0.2">
      <c r="A113" s="163" t="s">
        <v>658</v>
      </c>
      <c r="B113" s="163"/>
      <c r="C113" s="181" t="s">
        <v>659</v>
      </c>
      <c r="D113" s="164"/>
      <c r="E113" s="164"/>
      <c r="F113" s="223" t="s">
        <v>660</v>
      </c>
      <c r="G113" s="223"/>
      <c r="BY113" s="165" t="str">
        <f>C113</f>
        <v>Главный инженер-сметчик ООО "ОДСК-Инжиниринг"</v>
      </c>
      <c r="BZ113" s="165" t="str">
        <f>F113</f>
        <v>Кузнецова У.И.</v>
      </c>
      <c r="IU113" s="21"/>
    </row>
    <row r="114" spans="1:255" s="206" customFormat="1" ht="11.25" x14ac:dyDescent="0.2">
      <c r="A114" s="205"/>
      <c r="B114" s="205"/>
      <c r="C114" s="224" t="s">
        <v>651</v>
      </c>
      <c r="D114" s="224"/>
      <c r="E114" s="224"/>
      <c r="F114" s="224" t="s">
        <v>652</v>
      </c>
      <c r="G114" s="224"/>
    </row>
    <row r="115" spans="1:255" x14ac:dyDescent="0.2">
      <c r="A115" s="16"/>
      <c r="B115" s="16"/>
      <c r="C115" s="16"/>
      <c r="D115" s="9" t="s">
        <v>653</v>
      </c>
      <c r="E115" s="16"/>
      <c r="F115" s="16"/>
      <c r="G115" s="16"/>
    </row>
    <row r="116" spans="1:255" x14ac:dyDescent="0.2">
      <c r="A116" s="163" t="s">
        <v>536</v>
      </c>
      <c r="B116" s="163"/>
      <c r="C116" s="181" t="s">
        <v>667</v>
      </c>
      <c r="D116" s="164"/>
      <c r="E116" s="164"/>
      <c r="F116" s="223" t="s">
        <v>661</v>
      </c>
      <c r="G116" s="223"/>
      <c r="BY116" s="165" t="str">
        <f>C116</f>
        <v>Руководитель ПТС ООО "ОСУ-2"</v>
      </c>
      <c r="BZ116" s="165" t="str">
        <f>F116</f>
        <v>Когтев В.И.</v>
      </c>
      <c r="IU116" s="21"/>
    </row>
    <row r="117" spans="1:255" s="206" customFormat="1" ht="11.25" x14ac:dyDescent="0.2">
      <c r="A117" s="205"/>
      <c r="B117" s="205"/>
      <c r="C117" s="224" t="s">
        <v>651</v>
      </c>
      <c r="D117" s="224"/>
      <c r="E117" s="224"/>
      <c r="F117" s="224" t="s">
        <v>652</v>
      </c>
      <c r="G117" s="224"/>
    </row>
    <row r="118" spans="1:255" x14ac:dyDescent="0.2">
      <c r="A118" s="16"/>
      <c r="B118" s="16"/>
      <c r="C118" s="16"/>
      <c r="D118" s="9" t="s">
        <v>653</v>
      </c>
      <c r="E118" s="16"/>
      <c r="F118" s="16"/>
      <c r="G118" s="16"/>
    </row>
  </sheetData>
  <mergeCells count="30">
    <mergeCell ref="H6:K6"/>
    <mergeCell ref="A1:K1"/>
    <mergeCell ref="H2:K2"/>
    <mergeCell ref="H3:K3"/>
    <mergeCell ref="H4:K4"/>
    <mergeCell ref="H5:K5"/>
    <mergeCell ref="B20:K20"/>
    <mergeCell ref="H7:K7"/>
    <mergeCell ref="H8:K8"/>
    <mergeCell ref="C11:K11"/>
    <mergeCell ref="C12:K12"/>
    <mergeCell ref="C13:K13"/>
    <mergeCell ref="C14:K14"/>
    <mergeCell ref="A15:K15"/>
    <mergeCell ref="A16:K16"/>
    <mergeCell ref="A17:K17"/>
    <mergeCell ref="A18:K18"/>
    <mergeCell ref="B19:K19"/>
    <mergeCell ref="B21:K21"/>
    <mergeCell ref="F23:H23"/>
    <mergeCell ref="A27:K27"/>
    <mergeCell ref="F110:G110"/>
    <mergeCell ref="C111:E111"/>
    <mergeCell ref="F111:G111"/>
    <mergeCell ref="F113:G113"/>
    <mergeCell ref="C114:E114"/>
    <mergeCell ref="F114:G114"/>
    <mergeCell ref="F116:G116"/>
    <mergeCell ref="C117:E117"/>
    <mergeCell ref="F117:G117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337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28762</v>
      </c>
      <c r="M1">
        <v>66419001</v>
      </c>
      <c r="N1">
        <v>11</v>
      </c>
      <c r="O1">
        <v>11</v>
      </c>
      <c r="P1">
        <v>0</v>
      </c>
      <c r="Q1">
        <v>3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131595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2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499</v>
      </c>
      <c r="CR12" s="1" t="s">
        <v>13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67643165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0</v>
      </c>
      <c r="C16" s="6" t="s">
        <v>14</v>
      </c>
      <c r="D16" s="6" t="s">
        <v>15</v>
      </c>
      <c r="E16" s="7" t="e">
        <f>ROUND((Source!F90)/1000,2)</f>
        <v>#REF!</v>
      </c>
      <c r="F16" s="7" t="e">
        <f>ROUND((Source!F91)/1000,2)</f>
        <v>#REF!</v>
      </c>
      <c r="G16" s="7">
        <f>ROUND((Source!F82)/1000,2)</f>
        <v>0</v>
      </c>
      <c r="H16" s="7" t="e">
        <f>ROUND((Source!F92)/1000+(Source!F93)/1000,2)</f>
        <v>#REF!</v>
      </c>
      <c r="I16" s="7" t="e">
        <f>E16+F16+G16+H16</f>
        <v>#REF!</v>
      </c>
      <c r="J16" s="7" t="e">
        <f>ROUND((Source!F88+Source!F87)/1000,2)</f>
        <v>#REF!</v>
      </c>
      <c r="AI16" s="6">
        <v>0</v>
      </c>
      <c r="AJ16" s="6">
        <v>-1</v>
      </c>
      <c r="AK16" s="6" t="s">
        <v>6</v>
      </c>
      <c r="AL16" s="6" t="s">
        <v>6</v>
      </c>
      <c r="AM16" s="6" t="s">
        <v>6</v>
      </c>
      <c r="AN16" s="6">
        <v>0</v>
      </c>
      <c r="AO16" s="6" t="s">
        <v>6</v>
      </c>
      <c r="AP16" s="6" t="s">
        <v>6</v>
      </c>
      <c r="AT16" s="7">
        <v>2382647.4899999998</v>
      </c>
      <c r="AU16" s="7">
        <v>1617668.65</v>
      </c>
      <c r="AV16" s="7">
        <v>0</v>
      </c>
      <c r="AW16" s="7">
        <v>0</v>
      </c>
      <c r="AX16" s="7">
        <v>0</v>
      </c>
      <c r="AY16" s="7">
        <v>307765.56</v>
      </c>
      <c r="AZ16" s="7">
        <v>96400.640000000014</v>
      </c>
      <c r="BA16" s="7">
        <v>365377.17000000004</v>
      </c>
      <c r="BB16" s="7">
        <v>2421535.64</v>
      </c>
      <c r="BC16" s="7">
        <v>23869.49</v>
      </c>
      <c r="BD16" s="7">
        <v>692265.17</v>
      </c>
      <c r="BE16" s="7">
        <v>0</v>
      </c>
      <c r="BF16" s="7">
        <v>1298.145164</v>
      </c>
      <c r="BG16" s="7">
        <v>227.79489799999999</v>
      </c>
      <c r="BH16" s="7">
        <v>0</v>
      </c>
      <c r="BI16" s="7">
        <v>481525.89</v>
      </c>
      <c r="BJ16" s="7">
        <v>273496.92</v>
      </c>
      <c r="BK16" s="7">
        <v>3137670.3</v>
      </c>
    </row>
    <row r="18" spans="1:19" x14ac:dyDescent="0.2">
      <c r="A18">
        <v>51</v>
      </c>
      <c r="E18" s="8" t="e">
        <f>SUMIF(A16:A17,3,E16:E17)</f>
        <v>#REF!</v>
      </c>
      <c r="F18" s="8" t="e">
        <f>SUMIF(A16:A17,3,F16:F17)</f>
        <v>#REF!</v>
      </c>
      <c r="G18" s="8">
        <f>SUMIF(A16:A17,3,G16:G17)</f>
        <v>0</v>
      </c>
      <c r="H18" s="8" t="e">
        <f>SUMIF(A16:A17,3,H16:H17)</f>
        <v>#REF!</v>
      </c>
      <c r="I18" s="8" t="e">
        <f>SUMIF(A16:A17,3,I16:I17)</f>
        <v>#REF!</v>
      </c>
      <c r="J18" s="8" t="e">
        <f>SUMIF(A16:A17,3,J16:J17)</f>
        <v>#REF!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2382647.4899999998</v>
      </c>
      <c r="G20" s="4" t="s">
        <v>218</v>
      </c>
      <c r="H20" s="4" t="s">
        <v>219</v>
      </c>
      <c r="I20" s="4"/>
      <c r="J20" s="4"/>
      <c r="K20" s="4">
        <v>201</v>
      </c>
      <c r="L20" s="4">
        <v>1</v>
      </c>
      <c r="M20" s="4">
        <v>3</v>
      </c>
      <c r="N20" s="4" t="s">
        <v>6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1617668.65</v>
      </c>
      <c r="G21" s="4" t="s">
        <v>220</v>
      </c>
      <c r="H21" s="4" t="s">
        <v>221</v>
      </c>
      <c r="I21" s="4"/>
      <c r="J21" s="4"/>
      <c r="K21" s="4">
        <v>202</v>
      </c>
      <c r="L21" s="4">
        <v>2</v>
      </c>
      <c r="M21" s="4">
        <v>3</v>
      </c>
      <c r="N21" s="4" t="s">
        <v>6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222</v>
      </c>
      <c r="H22" s="4" t="s">
        <v>223</v>
      </c>
      <c r="I22" s="4"/>
      <c r="J22" s="4"/>
      <c r="K22" s="4">
        <v>222</v>
      </c>
      <c r="L22" s="4">
        <v>3</v>
      </c>
      <c r="M22" s="4">
        <v>3</v>
      </c>
      <c r="N22" s="4" t="s">
        <v>6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1617668.65</v>
      </c>
      <c r="G23" s="4" t="s">
        <v>224</v>
      </c>
      <c r="H23" s="4" t="s">
        <v>225</v>
      </c>
      <c r="I23" s="4"/>
      <c r="J23" s="4"/>
      <c r="K23" s="4">
        <v>225</v>
      </c>
      <c r="L23" s="4">
        <v>4</v>
      </c>
      <c r="M23" s="4">
        <v>3</v>
      </c>
      <c r="N23" s="4" t="s">
        <v>6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1617668.65</v>
      </c>
      <c r="G24" s="4" t="s">
        <v>226</v>
      </c>
      <c r="H24" s="4" t="s">
        <v>227</v>
      </c>
      <c r="I24" s="4"/>
      <c r="J24" s="4"/>
      <c r="K24" s="4">
        <v>226</v>
      </c>
      <c r="L24" s="4">
        <v>5</v>
      </c>
      <c r="M24" s="4">
        <v>3</v>
      </c>
      <c r="N24" s="4" t="s">
        <v>6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228</v>
      </c>
      <c r="H25" s="4" t="s">
        <v>229</v>
      </c>
      <c r="I25" s="4"/>
      <c r="J25" s="4"/>
      <c r="K25" s="4">
        <v>227</v>
      </c>
      <c r="L25" s="4">
        <v>6</v>
      </c>
      <c r="M25" s="4">
        <v>3</v>
      </c>
      <c r="N25" s="4" t="s">
        <v>6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1617668.65</v>
      </c>
      <c r="G26" s="4" t="s">
        <v>230</v>
      </c>
      <c r="H26" s="4" t="s">
        <v>231</v>
      </c>
      <c r="I26" s="4"/>
      <c r="J26" s="4"/>
      <c r="K26" s="4">
        <v>228</v>
      </c>
      <c r="L26" s="4">
        <v>7</v>
      </c>
      <c r="M26" s="4">
        <v>3</v>
      </c>
      <c r="N26" s="4" t="s">
        <v>6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232</v>
      </c>
      <c r="H27" s="4" t="s">
        <v>233</v>
      </c>
      <c r="I27" s="4"/>
      <c r="J27" s="4"/>
      <c r="K27" s="4">
        <v>216</v>
      </c>
      <c r="L27" s="4">
        <v>8</v>
      </c>
      <c r="M27" s="4">
        <v>3</v>
      </c>
      <c r="N27" s="4" t="s">
        <v>6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234</v>
      </c>
      <c r="H28" s="4" t="s">
        <v>235</v>
      </c>
      <c r="I28" s="4"/>
      <c r="J28" s="4"/>
      <c r="K28" s="4">
        <v>223</v>
      </c>
      <c r="L28" s="4">
        <v>9</v>
      </c>
      <c r="M28" s="4">
        <v>3</v>
      </c>
      <c r="N28" s="4" t="s">
        <v>6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236</v>
      </c>
      <c r="H29" s="4" t="s">
        <v>237</v>
      </c>
      <c r="I29" s="4"/>
      <c r="J29" s="4"/>
      <c r="K29" s="4">
        <v>229</v>
      </c>
      <c r="L29" s="4">
        <v>10</v>
      </c>
      <c r="M29" s="4">
        <v>3</v>
      </c>
      <c r="N29" s="4" t="s">
        <v>6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307765.56</v>
      </c>
      <c r="G30" s="4" t="s">
        <v>238</v>
      </c>
      <c r="H30" s="4" t="s">
        <v>239</v>
      </c>
      <c r="I30" s="4"/>
      <c r="J30" s="4"/>
      <c r="K30" s="4">
        <v>203</v>
      </c>
      <c r="L30" s="4">
        <v>11</v>
      </c>
      <c r="M30" s="4">
        <v>3</v>
      </c>
      <c r="N30" s="4" t="s">
        <v>6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240</v>
      </c>
      <c r="H31" s="4" t="s">
        <v>241</v>
      </c>
      <c r="I31" s="4"/>
      <c r="J31" s="4"/>
      <c r="K31" s="4">
        <v>231</v>
      </c>
      <c r="L31" s="4">
        <v>12</v>
      </c>
      <c r="M31" s="4">
        <v>3</v>
      </c>
      <c r="N31" s="4" t="s">
        <v>6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96400.640000000014</v>
      </c>
      <c r="G32" s="4" t="s">
        <v>242</v>
      </c>
      <c r="H32" s="4" t="s">
        <v>243</v>
      </c>
      <c r="I32" s="4"/>
      <c r="J32" s="4"/>
      <c r="K32" s="4">
        <v>204</v>
      </c>
      <c r="L32" s="4">
        <v>13</v>
      </c>
      <c r="M32" s="4">
        <v>3</v>
      </c>
      <c r="N32" s="4" t="s">
        <v>6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365377.17000000004</v>
      </c>
      <c r="G33" s="4" t="s">
        <v>244</v>
      </c>
      <c r="H33" s="4" t="s">
        <v>245</v>
      </c>
      <c r="I33" s="4"/>
      <c r="J33" s="4"/>
      <c r="K33" s="4">
        <v>205</v>
      </c>
      <c r="L33" s="4">
        <v>14</v>
      </c>
      <c r="M33" s="4">
        <v>3</v>
      </c>
      <c r="N33" s="4" t="s">
        <v>6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246</v>
      </c>
      <c r="H34" s="4" t="s">
        <v>247</v>
      </c>
      <c r="I34" s="4"/>
      <c r="J34" s="4"/>
      <c r="K34" s="4">
        <v>232</v>
      </c>
      <c r="L34" s="4">
        <v>15</v>
      </c>
      <c r="M34" s="4">
        <v>3</v>
      </c>
      <c r="N34" s="4" t="s">
        <v>6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2421535.64</v>
      </c>
      <c r="G35" s="4" t="s">
        <v>248</v>
      </c>
      <c r="H35" s="4" t="s">
        <v>249</v>
      </c>
      <c r="I35" s="4"/>
      <c r="J35" s="4"/>
      <c r="K35" s="4">
        <v>214</v>
      </c>
      <c r="L35" s="4">
        <v>16</v>
      </c>
      <c r="M35" s="4">
        <v>3</v>
      </c>
      <c r="N35" s="4" t="s">
        <v>6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23869.49</v>
      </c>
      <c r="G36" s="4" t="s">
        <v>250</v>
      </c>
      <c r="H36" s="4" t="s">
        <v>251</v>
      </c>
      <c r="I36" s="4"/>
      <c r="J36" s="4"/>
      <c r="K36" s="4">
        <v>215</v>
      </c>
      <c r="L36" s="4">
        <v>17</v>
      </c>
      <c r="M36" s="4">
        <v>3</v>
      </c>
      <c r="N36" s="4" t="s">
        <v>6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692265.17</v>
      </c>
      <c r="G37" s="4" t="s">
        <v>252</v>
      </c>
      <c r="H37" s="4" t="s">
        <v>253</v>
      </c>
      <c r="I37" s="4"/>
      <c r="J37" s="4"/>
      <c r="K37" s="4">
        <v>217</v>
      </c>
      <c r="L37" s="4">
        <v>18</v>
      </c>
      <c r="M37" s="4">
        <v>3</v>
      </c>
      <c r="N37" s="4" t="s">
        <v>6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254</v>
      </c>
      <c r="H38" s="4" t="s">
        <v>255</v>
      </c>
      <c r="I38" s="4"/>
      <c r="J38" s="4"/>
      <c r="K38" s="4">
        <v>230</v>
      </c>
      <c r="L38" s="4">
        <v>19</v>
      </c>
      <c r="M38" s="4">
        <v>3</v>
      </c>
      <c r="N38" s="4" t="s">
        <v>6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256</v>
      </c>
      <c r="H39" s="4" t="s">
        <v>257</v>
      </c>
      <c r="I39" s="4"/>
      <c r="J39" s="4"/>
      <c r="K39" s="4">
        <v>206</v>
      </c>
      <c r="L39" s="4">
        <v>20</v>
      </c>
      <c r="M39" s="4">
        <v>3</v>
      </c>
      <c r="N39" s="4" t="s">
        <v>6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1298.145164</v>
      </c>
      <c r="G40" s="4" t="s">
        <v>258</v>
      </c>
      <c r="H40" s="4" t="s">
        <v>259</v>
      </c>
      <c r="I40" s="4"/>
      <c r="J40" s="4"/>
      <c r="K40" s="4">
        <v>207</v>
      </c>
      <c r="L40" s="4">
        <v>21</v>
      </c>
      <c r="M40" s="4">
        <v>3</v>
      </c>
      <c r="N40" s="4" t="s">
        <v>6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227.79489799999999</v>
      </c>
      <c r="G41" s="4" t="s">
        <v>260</v>
      </c>
      <c r="H41" s="4" t="s">
        <v>261</v>
      </c>
      <c r="I41" s="4"/>
      <c r="J41" s="4"/>
      <c r="K41" s="4">
        <v>208</v>
      </c>
      <c r="L41" s="4">
        <v>22</v>
      </c>
      <c r="M41" s="4">
        <v>3</v>
      </c>
      <c r="N41" s="4" t="s">
        <v>6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262</v>
      </c>
      <c r="H42" s="4" t="s">
        <v>263</v>
      </c>
      <c r="I42" s="4"/>
      <c r="J42" s="4"/>
      <c r="K42" s="4">
        <v>209</v>
      </c>
      <c r="L42" s="4">
        <v>23</v>
      </c>
      <c r="M42" s="4">
        <v>3</v>
      </c>
      <c r="N42" s="4" t="s">
        <v>6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91836.11</v>
      </c>
      <c r="G43" s="4" t="s">
        <v>264</v>
      </c>
      <c r="H43" s="4" t="s">
        <v>265</v>
      </c>
      <c r="I43" s="4"/>
      <c r="J43" s="4"/>
      <c r="K43" s="4">
        <v>233</v>
      </c>
      <c r="L43" s="4">
        <v>24</v>
      </c>
      <c r="M43" s="4">
        <v>3</v>
      </c>
      <c r="N43" s="4" t="s">
        <v>6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481525.89</v>
      </c>
      <c r="G44" s="4" t="s">
        <v>266</v>
      </c>
      <c r="H44" s="4" t="s">
        <v>267</v>
      </c>
      <c r="I44" s="4"/>
      <c r="J44" s="4"/>
      <c r="K44" s="4">
        <v>210</v>
      </c>
      <c r="L44" s="4">
        <v>25</v>
      </c>
      <c r="M44" s="4">
        <v>3</v>
      </c>
      <c r="N44" s="4" t="s">
        <v>6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273496.92</v>
      </c>
      <c r="G45" s="4" t="s">
        <v>268</v>
      </c>
      <c r="H45" s="4" t="s">
        <v>269</v>
      </c>
      <c r="I45" s="4"/>
      <c r="J45" s="4"/>
      <c r="K45" s="4">
        <v>211</v>
      </c>
      <c r="L45" s="4">
        <v>26</v>
      </c>
      <c r="M45" s="4">
        <v>3</v>
      </c>
      <c r="N45" s="4" t="s">
        <v>6</v>
      </c>
      <c r="O45" s="4">
        <v>2</v>
      </c>
      <c r="P45" s="4"/>
    </row>
    <row r="46" spans="1:16" x14ac:dyDescent="0.2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3137670.3</v>
      </c>
      <c r="G46" s="4" t="s">
        <v>270</v>
      </c>
      <c r="H46" s="4" t="s">
        <v>271</v>
      </c>
      <c r="I46" s="4"/>
      <c r="J46" s="4"/>
      <c r="K46" s="4">
        <v>224</v>
      </c>
      <c r="L46" s="4">
        <v>27</v>
      </c>
      <c r="M46" s="4">
        <v>3</v>
      </c>
      <c r="N46" s="4" t="s">
        <v>6</v>
      </c>
      <c r="O46" s="4">
        <v>2</v>
      </c>
      <c r="P46" s="4"/>
    </row>
    <row r="48" spans="1:16" x14ac:dyDescent="0.2">
      <c r="A48">
        <v>-1</v>
      </c>
    </row>
    <row r="51" spans="1:40" x14ac:dyDescent="0.2">
      <c r="A51" s="3">
        <v>75</v>
      </c>
      <c r="B51" s="3" t="s">
        <v>335</v>
      </c>
      <c r="C51" s="3">
        <v>2024</v>
      </c>
      <c r="D51" s="3">
        <v>4</v>
      </c>
      <c r="E51" s="3">
        <v>0</v>
      </c>
      <c r="F51" s="3">
        <v>0</v>
      </c>
      <c r="G51" s="3">
        <v>0</v>
      </c>
      <c r="H51" s="3">
        <v>1</v>
      </c>
      <c r="I51" s="3">
        <v>0</v>
      </c>
      <c r="J51" s="3">
        <v>4</v>
      </c>
      <c r="K51" s="3">
        <v>0</v>
      </c>
      <c r="L51" s="3">
        <v>0</v>
      </c>
      <c r="M51" s="3">
        <v>0</v>
      </c>
      <c r="N51" s="3">
        <v>67643165</v>
      </c>
      <c r="O51" s="3">
        <v>1</v>
      </c>
    </row>
    <row r="52" spans="1:40" x14ac:dyDescent="0.2">
      <c r="A52" s="5">
        <v>3</v>
      </c>
      <c r="B52" s="5" t="s">
        <v>336</v>
      </c>
      <c r="C52" s="5">
        <v>1</v>
      </c>
      <c r="D52" s="5">
        <v>9.11</v>
      </c>
      <c r="E52" s="5">
        <v>13.26</v>
      </c>
      <c r="F52" s="5">
        <v>33.39</v>
      </c>
      <c r="G52" s="5">
        <v>33.39</v>
      </c>
      <c r="H52" s="5">
        <v>6.14</v>
      </c>
      <c r="I52" s="5">
        <v>1</v>
      </c>
      <c r="J52" s="5">
        <v>2</v>
      </c>
      <c r="K52" s="5">
        <v>1</v>
      </c>
      <c r="L52" s="5">
        <v>13.26</v>
      </c>
      <c r="M52" s="5">
        <v>1</v>
      </c>
      <c r="N52" s="5">
        <v>9.11</v>
      </c>
      <c r="O52" s="5">
        <v>6.14</v>
      </c>
      <c r="P52" s="5">
        <v>1</v>
      </c>
      <c r="Q52" s="5">
        <v>1</v>
      </c>
      <c r="R52" s="5">
        <v>13.26</v>
      </c>
      <c r="S52" s="5" t="s">
        <v>6</v>
      </c>
      <c r="T52" s="5" t="s">
        <v>6</v>
      </c>
      <c r="U52" s="5" t="s">
        <v>6</v>
      </c>
      <c r="V52" s="5" t="s">
        <v>6</v>
      </c>
      <c r="W52" s="5" t="s">
        <v>6</v>
      </c>
      <c r="X52" s="5" t="s">
        <v>6</v>
      </c>
      <c r="Y52" s="5" t="s">
        <v>6</v>
      </c>
      <c r="Z52" s="5" t="s">
        <v>6</v>
      </c>
      <c r="AA52" s="5" t="s">
        <v>6</v>
      </c>
      <c r="AB52" s="5" t="s">
        <v>6</v>
      </c>
      <c r="AC52" s="5" t="s">
        <v>6</v>
      </c>
      <c r="AD52" s="5" t="s">
        <v>6</v>
      </c>
      <c r="AE52" s="5" t="s">
        <v>6</v>
      </c>
      <c r="AF52" s="5" t="s">
        <v>6</v>
      </c>
      <c r="AG52" s="5" t="s">
        <v>6</v>
      </c>
      <c r="AH52" s="5" t="s">
        <v>6</v>
      </c>
      <c r="AI52" s="5"/>
      <c r="AJ52" s="5"/>
      <c r="AK52" s="5"/>
      <c r="AL52" s="5"/>
      <c r="AM52" s="5"/>
      <c r="AN52" s="5">
        <v>67643166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2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ROW(Source!A24)</f>
        <v>24</v>
      </c>
      <c r="B1">
        <v>67643165</v>
      </c>
      <c r="C1">
        <v>67670739</v>
      </c>
      <c r="D1">
        <v>31709613</v>
      </c>
      <c r="E1">
        <v>70</v>
      </c>
      <c r="F1">
        <v>1</v>
      </c>
      <c r="G1">
        <v>1</v>
      </c>
      <c r="H1">
        <v>1</v>
      </c>
      <c r="I1" t="s">
        <v>338</v>
      </c>
      <c r="J1" t="s">
        <v>6</v>
      </c>
      <c r="K1" t="s">
        <v>339</v>
      </c>
      <c r="L1">
        <v>1191</v>
      </c>
      <c r="N1">
        <v>1013</v>
      </c>
      <c r="O1" t="s">
        <v>340</v>
      </c>
      <c r="P1" t="s">
        <v>340</v>
      </c>
      <c r="Q1">
        <v>1</v>
      </c>
      <c r="W1">
        <v>0</v>
      </c>
      <c r="X1">
        <v>2031828327</v>
      </c>
      <c r="Y1">
        <f>(AT1*ROUND(1.1,7))</f>
        <v>10.824</v>
      </c>
      <c r="AA1">
        <v>0</v>
      </c>
      <c r="AB1">
        <v>0</v>
      </c>
      <c r="AC1">
        <v>0</v>
      </c>
      <c r="AD1">
        <v>260.44</v>
      </c>
      <c r="AE1">
        <v>0</v>
      </c>
      <c r="AF1">
        <v>0</v>
      </c>
      <c r="AG1">
        <v>0</v>
      </c>
      <c r="AH1">
        <v>7.8</v>
      </c>
      <c r="AI1">
        <v>1</v>
      </c>
      <c r="AJ1">
        <v>1</v>
      </c>
      <c r="AK1">
        <v>1</v>
      </c>
      <c r="AL1">
        <v>33.39</v>
      </c>
      <c r="AM1">
        <v>4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9.84</v>
      </c>
      <c r="AU1" t="s">
        <v>22</v>
      </c>
      <c r="AV1">
        <v>1</v>
      </c>
      <c r="AW1">
        <v>2</v>
      </c>
      <c r="AX1">
        <v>67670745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ROUND(AT1*Source!I24*AH1*AL1,2)</f>
        <v>3398.21</v>
      </c>
      <c r="CV1">
        <f>ROUND(Y1*Source!I24,7)</f>
        <v>14.352624</v>
      </c>
      <c r="CW1">
        <v>0</v>
      </c>
      <c r="CX1">
        <f>ROUND(Y1*Source!I24,7)</f>
        <v>14.352624</v>
      </c>
      <c r="CY1">
        <f>AD1</f>
        <v>260.44</v>
      </c>
      <c r="CZ1">
        <f>AH1</f>
        <v>7.8</v>
      </c>
      <c r="DA1">
        <f>AL1</f>
        <v>33.39</v>
      </c>
      <c r="DB1">
        <f>ROUND((ROUND(AT1*CZ1,2)*ROUND(1.1,7)),2)</f>
        <v>84.43</v>
      </c>
      <c r="DC1">
        <f>ROUND((ROUND(AT1*AG1,2)*ROUND(1.1,7)),2)</f>
        <v>0</v>
      </c>
      <c r="DD1" t="s">
        <v>6</v>
      </c>
      <c r="DE1" t="s">
        <v>6</v>
      </c>
      <c r="DF1">
        <f>ROUND(ROUND(AE1,2)*CX1,2)</f>
        <v>0</v>
      </c>
      <c r="DG1">
        <f>ROUND(ROUND(AF1,2)*CX1,2)</f>
        <v>0</v>
      </c>
      <c r="DH1">
        <f>Source!I24*SmtRes!Y1</f>
        <v>14.352624</v>
      </c>
      <c r="DI1">
        <f>AD1</f>
        <v>260.44</v>
      </c>
      <c r="DJ1">
        <f>EtalonRes!AB1</f>
        <v>7.8</v>
      </c>
      <c r="DK1" t="e">
        <f>Source!BA24</f>
        <v>#REF!</v>
      </c>
      <c r="DL1" t="s">
        <v>6</v>
      </c>
      <c r="DM1">
        <v>0</v>
      </c>
      <c r="DN1" t="s">
        <v>6</v>
      </c>
      <c r="DO1">
        <v>0</v>
      </c>
      <c r="GQ1">
        <v>-1</v>
      </c>
      <c r="GR1">
        <v>-1</v>
      </c>
    </row>
    <row r="2" spans="1:200" x14ac:dyDescent="0.2">
      <c r="A2">
        <f>ROW(Source!A24)</f>
        <v>24</v>
      </c>
      <c r="B2">
        <v>67643165</v>
      </c>
      <c r="C2">
        <v>67670739</v>
      </c>
      <c r="D2">
        <v>31709492</v>
      </c>
      <c r="E2">
        <v>70</v>
      </c>
      <c r="F2">
        <v>1</v>
      </c>
      <c r="G2">
        <v>1</v>
      </c>
      <c r="H2">
        <v>1</v>
      </c>
      <c r="I2" t="s">
        <v>341</v>
      </c>
      <c r="J2" t="s">
        <v>6</v>
      </c>
      <c r="K2" t="s">
        <v>342</v>
      </c>
      <c r="L2">
        <v>1191</v>
      </c>
      <c r="N2">
        <v>1013</v>
      </c>
      <c r="O2" t="s">
        <v>340</v>
      </c>
      <c r="P2" t="s">
        <v>340</v>
      </c>
      <c r="Q2">
        <v>1</v>
      </c>
      <c r="W2">
        <v>0</v>
      </c>
      <c r="X2">
        <v>-1417349443</v>
      </c>
      <c r="Y2">
        <f>(AT2*ROUND(1.1,7))</f>
        <v>31.383000000000003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33.39</v>
      </c>
      <c r="AL2">
        <v>1</v>
      </c>
      <c r="AM2">
        <v>4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28.53</v>
      </c>
      <c r="AU2" t="s">
        <v>22</v>
      </c>
      <c r="AV2">
        <v>2</v>
      </c>
      <c r="AW2">
        <v>2</v>
      </c>
      <c r="AX2">
        <v>67670746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41.613858</v>
      </c>
      <c r="CY2">
        <f>AD2</f>
        <v>0</v>
      </c>
      <c r="CZ2">
        <f>AH2</f>
        <v>0</v>
      </c>
      <c r="DA2">
        <f>AL2</f>
        <v>1</v>
      </c>
      <c r="DB2">
        <f>ROUND((ROUND(AT2*CZ2,2)*ROUND(1.1,7)),2)</f>
        <v>0</v>
      </c>
      <c r="DC2">
        <f>ROUND((ROUND(AT2*AG2,2)*ROUND(1.1,7)),2)</f>
        <v>0</v>
      </c>
      <c r="DD2" t="s">
        <v>6</v>
      </c>
      <c r="DE2" t="s">
        <v>6</v>
      </c>
      <c r="DF2">
        <f>ROUND(ROUND(AE2,2)*CX2,2)</f>
        <v>0</v>
      </c>
      <c r="DG2">
        <f>ROUND(ROUND(AF2,2)*CX2,2)</f>
        <v>0</v>
      </c>
      <c r="DH2">
        <f>Source!I24*SmtRes!Y2</f>
        <v>41.613858000000008</v>
      </c>
      <c r="DI2">
        <f>AD2</f>
        <v>0</v>
      </c>
      <c r="DJ2">
        <f>EtalonRes!AB2</f>
        <v>0</v>
      </c>
      <c r="DK2" t="e">
        <f>Source!BA24</f>
        <v>#REF!</v>
      </c>
      <c r="DL2" t="s">
        <v>6</v>
      </c>
      <c r="DM2">
        <v>0</v>
      </c>
      <c r="DN2" t="s">
        <v>6</v>
      </c>
      <c r="DO2">
        <v>0</v>
      </c>
      <c r="GQ2">
        <v>-1</v>
      </c>
      <c r="GR2">
        <v>-1</v>
      </c>
    </row>
    <row r="3" spans="1:200" x14ac:dyDescent="0.2">
      <c r="A3">
        <f>ROW(Source!A24)</f>
        <v>24</v>
      </c>
      <c r="B3">
        <v>67643165</v>
      </c>
      <c r="C3">
        <v>67670739</v>
      </c>
      <c r="D3">
        <v>49672022</v>
      </c>
      <c r="E3">
        <v>1</v>
      </c>
      <c r="F3">
        <v>1</v>
      </c>
      <c r="G3">
        <v>1</v>
      </c>
      <c r="H3">
        <v>2</v>
      </c>
      <c r="I3" t="s">
        <v>343</v>
      </c>
      <c r="J3" t="s">
        <v>344</v>
      </c>
      <c r="K3" t="s">
        <v>345</v>
      </c>
      <c r="L3">
        <v>1367</v>
      </c>
      <c r="N3">
        <v>1011</v>
      </c>
      <c r="O3" t="s">
        <v>346</v>
      </c>
      <c r="P3" t="s">
        <v>346</v>
      </c>
      <c r="Q3">
        <v>1</v>
      </c>
      <c r="W3">
        <v>0</v>
      </c>
      <c r="X3">
        <v>-177383015</v>
      </c>
      <c r="Y3">
        <f>(AT3*ROUND(1.1,7))</f>
        <v>7.8430000000000009</v>
      </c>
      <c r="AA3">
        <v>0</v>
      </c>
      <c r="AB3">
        <v>1048.47</v>
      </c>
      <c r="AC3">
        <v>450.77</v>
      </c>
      <c r="AD3">
        <v>0</v>
      </c>
      <c r="AE3">
        <v>0</v>
      </c>
      <c r="AF3">
        <v>79.069999999999993</v>
      </c>
      <c r="AG3">
        <v>13.5</v>
      </c>
      <c r="AH3">
        <v>0</v>
      </c>
      <c r="AI3">
        <v>1</v>
      </c>
      <c r="AJ3">
        <v>13.26</v>
      </c>
      <c r="AK3">
        <v>33.39</v>
      </c>
      <c r="AL3">
        <v>1</v>
      </c>
      <c r="AM3">
        <v>4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7.13</v>
      </c>
      <c r="AU3" t="s">
        <v>347</v>
      </c>
      <c r="AV3">
        <v>0</v>
      </c>
      <c r="AW3">
        <v>2</v>
      </c>
      <c r="AX3">
        <v>67670747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ROUND(Y3*Source!I24*DO3,7)</f>
        <v>0</v>
      </c>
      <c r="CX3">
        <f>ROUND(Y3*Source!I24,7)</f>
        <v>10.399818</v>
      </c>
      <c r="CY3">
        <f>AB3</f>
        <v>1048.47</v>
      </c>
      <c r="CZ3">
        <f>AF3</f>
        <v>79.069999999999993</v>
      </c>
      <c r="DA3">
        <f>AJ3</f>
        <v>13.26</v>
      </c>
      <c r="DB3">
        <f>ROUND((ROUND(AT3*CZ3,2)*ROUND(1.1,7)),2)</f>
        <v>620.15</v>
      </c>
      <c r="DC3">
        <f>ROUND((ROUND(AT3*AG3,2)*ROUND(1.1,7)),2)</f>
        <v>105.89</v>
      </c>
      <c r="DD3" t="s">
        <v>6</v>
      </c>
      <c r="DE3" t="s">
        <v>6</v>
      </c>
      <c r="DF3">
        <f>ROUND(ROUND(AE3,2)*CX3,2)</f>
        <v>0</v>
      </c>
      <c r="DG3">
        <f>ROUND(ROUND(AF3*AJ3,2)*CX3,2)</f>
        <v>10903.9</v>
      </c>
      <c r="DH3">
        <f>Source!I24*SmtRes!Y3</f>
        <v>10.399818000000002</v>
      </c>
      <c r="DI3">
        <f>AB3</f>
        <v>1048.47</v>
      </c>
      <c r="DJ3">
        <f>EtalonRes!Z3</f>
        <v>79.069999999999993</v>
      </c>
      <c r="DK3" t="e">
        <f>Source!BB24</f>
        <v>#REF!</v>
      </c>
      <c r="DL3" t="s">
        <v>6</v>
      </c>
      <c r="DM3">
        <v>0</v>
      </c>
      <c r="DN3" t="s">
        <v>6</v>
      </c>
      <c r="DO3">
        <v>0</v>
      </c>
      <c r="GQ3">
        <v>-1</v>
      </c>
      <c r="GR3">
        <v>-1</v>
      </c>
    </row>
    <row r="4" spans="1:200" x14ac:dyDescent="0.2">
      <c r="A4">
        <f>ROW(Source!A24)</f>
        <v>24</v>
      </c>
      <c r="B4">
        <v>67643165</v>
      </c>
      <c r="C4">
        <v>67670739</v>
      </c>
      <c r="D4">
        <v>49672087</v>
      </c>
      <c r="E4">
        <v>1</v>
      </c>
      <c r="F4">
        <v>1</v>
      </c>
      <c r="G4">
        <v>1</v>
      </c>
      <c r="H4">
        <v>2</v>
      </c>
      <c r="I4" t="s">
        <v>348</v>
      </c>
      <c r="J4" t="s">
        <v>349</v>
      </c>
      <c r="K4" t="s">
        <v>350</v>
      </c>
      <c r="L4">
        <v>1367</v>
      </c>
      <c r="N4">
        <v>1011</v>
      </c>
      <c r="O4" t="s">
        <v>346</v>
      </c>
      <c r="P4" t="s">
        <v>346</v>
      </c>
      <c r="Q4">
        <v>1</v>
      </c>
      <c r="W4">
        <v>0</v>
      </c>
      <c r="X4">
        <v>145565111</v>
      </c>
      <c r="Y4">
        <f>(AT4*ROUND(1.1,7))</f>
        <v>23.54</v>
      </c>
      <c r="AA4">
        <v>0</v>
      </c>
      <c r="AB4">
        <v>1528.48</v>
      </c>
      <c r="AC4">
        <v>450.77</v>
      </c>
      <c r="AD4">
        <v>0</v>
      </c>
      <c r="AE4">
        <v>0</v>
      </c>
      <c r="AF4">
        <v>115.27</v>
      </c>
      <c r="AG4">
        <v>13.5</v>
      </c>
      <c r="AH4">
        <v>0</v>
      </c>
      <c r="AI4">
        <v>1</v>
      </c>
      <c r="AJ4">
        <v>13.26</v>
      </c>
      <c r="AK4">
        <v>33.39</v>
      </c>
      <c r="AL4">
        <v>1</v>
      </c>
      <c r="AM4">
        <v>4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21.4</v>
      </c>
      <c r="AU4" t="s">
        <v>347</v>
      </c>
      <c r="AV4">
        <v>0</v>
      </c>
      <c r="AW4">
        <v>2</v>
      </c>
      <c r="AX4">
        <v>67670748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V4">
        <v>0</v>
      </c>
      <c r="CW4">
        <f>ROUND(Y4*Source!I24*DO4,7)</f>
        <v>0</v>
      </c>
      <c r="CX4">
        <f>ROUND(Y4*Source!I24,7)</f>
        <v>31.214040000000001</v>
      </c>
      <c r="CY4">
        <f>AB4</f>
        <v>1528.48</v>
      </c>
      <c r="CZ4">
        <f>AF4</f>
        <v>115.27</v>
      </c>
      <c r="DA4">
        <f>AJ4</f>
        <v>13.26</v>
      </c>
      <c r="DB4">
        <f>ROUND((ROUND(AT4*CZ4,2)*ROUND(1.1,7)),2)</f>
        <v>2713.46</v>
      </c>
      <c r="DC4">
        <f>ROUND((ROUND(AT4*AG4,2)*ROUND(1.1,7)),2)</f>
        <v>317.79000000000002</v>
      </c>
      <c r="DD4" t="s">
        <v>6</v>
      </c>
      <c r="DE4" t="s">
        <v>6</v>
      </c>
      <c r="DF4">
        <f>ROUND(ROUND(AE4,2)*CX4,2)</f>
        <v>0</v>
      </c>
      <c r="DG4">
        <f>ROUND(ROUND(AF4*AJ4,2)*CX4,2)</f>
        <v>47710.04</v>
      </c>
      <c r="DH4">
        <f>Source!I24*SmtRes!Y4</f>
        <v>31.214040000000001</v>
      </c>
      <c r="DI4">
        <f>AB4</f>
        <v>1528.48</v>
      </c>
      <c r="DJ4">
        <f>EtalonRes!Z4</f>
        <v>115.27</v>
      </c>
      <c r="DK4" t="e">
        <f>Source!BB24</f>
        <v>#REF!</v>
      </c>
      <c r="DL4" t="s">
        <v>6</v>
      </c>
      <c r="DM4">
        <v>0</v>
      </c>
      <c r="DN4" t="s">
        <v>6</v>
      </c>
      <c r="DO4">
        <v>0</v>
      </c>
      <c r="GQ4">
        <v>-1</v>
      </c>
      <c r="GR4">
        <v>-1</v>
      </c>
    </row>
    <row r="5" spans="1:200" x14ac:dyDescent="0.2">
      <c r="A5">
        <f>ROW(Source!A24)</f>
        <v>24</v>
      </c>
      <c r="B5">
        <v>67643165</v>
      </c>
      <c r="C5">
        <v>67670739</v>
      </c>
      <c r="D5">
        <v>49527444</v>
      </c>
      <c r="E5">
        <v>1</v>
      </c>
      <c r="F5">
        <v>1</v>
      </c>
      <c r="G5">
        <v>1</v>
      </c>
      <c r="H5">
        <v>3</v>
      </c>
      <c r="I5" t="s">
        <v>31</v>
      </c>
      <c r="J5" t="s">
        <v>34</v>
      </c>
      <c r="K5" t="s">
        <v>32</v>
      </c>
      <c r="L5">
        <v>1339</v>
      </c>
      <c r="N5">
        <v>1007</v>
      </c>
      <c r="O5" t="s">
        <v>33</v>
      </c>
      <c r="P5" t="s">
        <v>33</v>
      </c>
      <c r="Q5">
        <v>1</v>
      </c>
      <c r="W5">
        <v>1</v>
      </c>
      <c r="X5">
        <v>-1769920836</v>
      </c>
      <c r="Y5">
        <f t="shared" ref="Y5:Y15" si="0">AT5</f>
        <v>-0.04</v>
      </c>
      <c r="AA5">
        <v>987.52</v>
      </c>
      <c r="AB5">
        <v>0</v>
      </c>
      <c r="AC5">
        <v>0</v>
      </c>
      <c r="AD5">
        <v>0</v>
      </c>
      <c r="AE5">
        <v>108.4</v>
      </c>
      <c r="AF5">
        <v>0</v>
      </c>
      <c r="AG5">
        <v>0</v>
      </c>
      <c r="AH5">
        <v>0</v>
      </c>
      <c r="AI5">
        <v>9.11</v>
      </c>
      <c r="AJ5">
        <v>1</v>
      </c>
      <c r="AK5">
        <v>1</v>
      </c>
      <c r="AL5">
        <v>1</v>
      </c>
      <c r="AM5">
        <v>4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-0.04</v>
      </c>
      <c r="AU5" t="s">
        <v>6</v>
      </c>
      <c r="AV5">
        <v>0</v>
      </c>
      <c r="AW5">
        <v>2</v>
      </c>
      <c r="AX5">
        <v>67670749</v>
      </c>
      <c r="AY5">
        <v>1</v>
      </c>
      <c r="AZ5">
        <v>6144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ROUND(Y5*Source!I24,7)</f>
        <v>-5.3039999999999997E-2</v>
      </c>
      <c r="CY5">
        <f>AA5</f>
        <v>987.52</v>
      </c>
      <c r="CZ5">
        <f>AE5</f>
        <v>108.4</v>
      </c>
      <c r="DA5">
        <f>AI5</f>
        <v>9.11</v>
      </c>
      <c r="DB5">
        <f t="shared" ref="DB5:DB15" si="1">ROUND(ROUND(AT5*CZ5,2),2)</f>
        <v>-4.34</v>
      </c>
      <c r="DC5">
        <f t="shared" ref="DC5:DC15" si="2">ROUND(ROUND(AT5*AG5,2),2)</f>
        <v>0</v>
      </c>
      <c r="DD5" t="s">
        <v>6</v>
      </c>
      <c r="DE5" t="s">
        <v>6</v>
      </c>
      <c r="DF5">
        <f>ROUND(ROUND(AE5*AI5,2)*CX5,2)</f>
        <v>-52.38</v>
      </c>
      <c r="DG5">
        <f>ROUND(ROUND(AF5,2)*CX5,2)</f>
        <v>0</v>
      </c>
      <c r="DH5">
        <f>Source!I24*SmtRes!Y5</f>
        <v>-5.3040000000000004E-2</v>
      </c>
      <c r="DI5">
        <f>AA5</f>
        <v>987.52</v>
      </c>
      <c r="DJ5">
        <f>EtalonRes!Y5</f>
        <v>108.4</v>
      </c>
      <c r="DK5" t="e">
        <f>Source!BC24</f>
        <v>#REF!</v>
      </c>
      <c r="DL5" t="s">
        <v>6</v>
      </c>
      <c r="DM5">
        <v>0</v>
      </c>
      <c r="DN5" t="s">
        <v>6</v>
      </c>
      <c r="DO5">
        <v>0</v>
      </c>
      <c r="GP5">
        <v>0</v>
      </c>
      <c r="GQ5">
        <v>-1</v>
      </c>
      <c r="GR5">
        <v>-1</v>
      </c>
    </row>
    <row r="6" spans="1:200" x14ac:dyDescent="0.2">
      <c r="A6">
        <f>ROW(Source!A26)</f>
        <v>26</v>
      </c>
      <c r="B6">
        <v>67643165</v>
      </c>
      <c r="C6">
        <v>67643230</v>
      </c>
      <c r="D6">
        <v>49510681</v>
      </c>
      <c r="E6">
        <v>70</v>
      </c>
      <c r="F6">
        <v>1</v>
      </c>
      <c r="G6">
        <v>1</v>
      </c>
      <c r="H6">
        <v>1</v>
      </c>
      <c r="I6" t="s">
        <v>338</v>
      </c>
      <c r="J6" t="s">
        <v>6</v>
      </c>
      <c r="K6" t="s">
        <v>339</v>
      </c>
      <c r="L6">
        <v>1191</v>
      </c>
      <c r="N6">
        <v>1013</v>
      </c>
      <c r="O6" t="s">
        <v>340</v>
      </c>
      <c r="P6" t="s">
        <v>340</v>
      </c>
      <c r="Q6">
        <v>1</v>
      </c>
      <c r="W6">
        <v>0</v>
      </c>
      <c r="X6">
        <v>2031828327</v>
      </c>
      <c r="Y6">
        <f t="shared" si="0"/>
        <v>9.84</v>
      </c>
      <c r="AA6">
        <v>0</v>
      </c>
      <c r="AB6">
        <v>0</v>
      </c>
      <c r="AC6">
        <v>0</v>
      </c>
      <c r="AD6">
        <v>260.44</v>
      </c>
      <c r="AE6">
        <v>0</v>
      </c>
      <c r="AF6">
        <v>0</v>
      </c>
      <c r="AG6">
        <v>0</v>
      </c>
      <c r="AH6">
        <v>7.8</v>
      </c>
      <c r="AI6">
        <v>1</v>
      </c>
      <c r="AJ6">
        <v>1</v>
      </c>
      <c r="AK6">
        <v>1</v>
      </c>
      <c r="AL6">
        <v>33.39</v>
      </c>
      <c r="AM6">
        <v>4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9.84</v>
      </c>
      <c r="AU6" t="s">
        <v>6</v>
      </c>
      <c r="AV6">
        <v>1</v>
      </c>
      <c r="AW6">
        <v>2</v>
      </c>
      <c r="AX6">
        <v>67647373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U6">
        <f>ROUND(AT6*Source!I26*AH6*AL6,2)</f>
        <v>3398.21</v>
      </c>
      <c r="CV6">
        <f>ROUND(Y6*Source!I26,7)</f>
        <v>13.047840000000001</v>
      </c>
      <c r="CW6">
        <v>0</v>
      </c>
      <c r="CX6">
        <f>ROUND(Y6*Source!I26,7)</f>
        <v>13.047840000000001</v>
      </c>
      <c r="CY6">
        <f>AD6</f>
        <v>260.44</v>
      </c>
      <c r="CZ6">
        <f>AH6</f>
        <v>7.8</v>
      </c>
      <c r="DA6">
        <f>AL6</f>
        <v>33.39</v>
      </c>
      <c r="DB6">
        <f t="shared" si="1"/>
        <v>76.75</v>
      </c>
      <c r="DC6">
        <f t="shared" si="2"/>
        <v>0</v>
      </c>
      <c r="DD6" t="s">
        <v>6</v>
      </c>
      <c r="DE6" t="s">
        <v>6</v>
      </c>
      <c r="DF6">
        <f>ROUND(ROUND(AE6,2)*CX6,2)</f>
        <v>0</v>
      </c>
      <c r="DG6">
        <f>ROUND(ROUND(AF6,2)*CX6,2)</f>
        <v>0</v>
      </c>
      <c r="DH6">
        <f>Source!I26*SmtRes!Y6</f>
        <v>13.047840000000001</v>
      </c>
      <c r="DI6">
        <f>AD6</f>
        <v>260.44</v>
      </c>
      <c r="DJ6">
        <f>EtalonRes!AB6</f>
        <v>7.8</v>
      </c>
      <c r="DK6" t="e">
        <f>Source!BA26</f>
        <v>#REF!</v>
      </c>
      <c r="DL6" t="s">
        <v>6</v>
      </c>
      <c r="DM6">
        <v>0</v>
      </c>
      <c r="DN6" t="s">
        <v>6</v>
      </c>
      <c r="DO6">
        <v>0</v>
      </c>
      <c r="GQ6">
        <v>-1</v>
      </c>
      <c r="GR6">
        <v>-1</v>
      </c>
    </row>
    <row r="7" spans="1:200" x14ac:dyDescent="0.2">
      <c r="A7">
        <f>ROW(Source!A26)</f>
        <v>26</v>
      </c>
      <c r="B7">
        <v>67643165</v>
      </c>
      <c r="C7">
        <v>67643230</v>
      </c>
      <c r="D7">
        <v>49510905</v>
      </c>
      <c r="E7">
        <v>70</v>
      </c>
      <c r="F7">
        <v>1</v>
      </c>
      <c r="G7">
        <v>1</v>
      </c>
      <c r="H7">
        <v>1</v>
      </c>
      <c r="I7" t="s">
        <v>341</v>
      </c>
      <c r="J7" t="s">
        <v>6</v>
      </c>
      <c r="K7" t="s">
        <v>342</v>
      </c>
      <c r="L7">
        <v>1191</v>
      </c>
      <c r="N7">
        <v>1013</v>
      </c>
      <c r="O7" t="s">
        <v>340</v>
      </c>
      <c r="P7" t="s">
        <v>340</v>
      </c>
      <c r="Q7">
        <v>1</v>
      </c>
      <c r="W7">
        <v>0</v>
      </c>
      <c r="X7">
        <v>-1417349443</v>
      </c>
      <c r="Y7">
        <f t="shared" si="0"/>
        <v>28.53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33.39</v>
      </c>
      <c r="AL7">
        <v>1</v>
      </c>
      <c r="AM7">
        <v>4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6</v>
      </c>
      <c r="AT7">
        <v>28.53</v>
      </c>
      <c r="AU7" t="s">
        <v>6</v>
      </c>
      <c r="AV7">
        <v>2</v>
      </c>
      <c r="AW7">
        <v>2</v>
      </c>
      <c r="AX7">
        <v>67647374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ROUND(Y7*Source!I26,7)</f>
        <v>37.830779999999997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6</v>
      </c>
      <c r="DE7" t="s">
        <v>6</v>
      </c>
      <c r="DF7">
        <f>ROUND(ROUND(AE7,2)*CX7,2)</f>
        <v>0</v>
      </c>
      <c r="DG7">
        <f>ROUND(ROUND(AF7,2)*CX7,2)</f>
        <v>0</v>
      </c>
      <c r="DH7">
        <f>Source!I26*SmtRes!Y7</f>
        <v>37.830780000000004</v>
      </c>
      <c r="DI7">
        <f>AD7</f>
        <v>0</v>
      </c>
      <c r="DJ7">
        <f>EtalonRes!AB7</f>
        <v>0</v>
      </c>
      <c r="DK7" t="e">
        <f>Source!BA26</f>
        <v>#REF!</v>
      </c>
      <c r="DL7" t="s">
        <v>6</v>
      </c>
      <c r="DM7">
        <v>0</v>
      </c>
      <c r="DN7" t="s">
        <v>6</v>
      </c>
      <c r="DO7">
        <v>0</v>
      </c>
      <c r="GQ7">
        <v>-1</v>
      </c>
      <c r="GR7">
        <v>-1</v>
      </c>
    </row>
    <row r="8" spans="1:200" x14ac:dyDescent="0.2">
      <c r="A8">
        <f>ROW(Source!A26)</f>
        <v>26</v>
      </c>
      <c r="B8">
        <v>67643165</v>
      </c>
      <c r="C8">
        <v>67643230</v>
      </c>
      <c r="D8">
        <v>49672022</v>
      </c>
      <c r="E8">
        <v>1</v>
      </c>
      <c r="F8">
        <v>1</v>
      </c>
      <c r="G8">
        <v>1</v>
      </c>
      <c r="H8">
        <v>2</v>
      </c>
      <c r="I8" t="s">
        <v>343</v>
      </c>
      <c r="J8" t="s">
        <v>344</v>
      </c>
      <c r="K8" t="s">
        <v>345</v>
      </c>
      <c r="L8">
        <v>1367</v>
      </c>
      <c r="N8">
        <v>1011</v>
      </c>
      <c r="O8" t="s">
        <v>346</v>
      </c>
      <c r="P8" t="s">
        <v>346</v>
      </c>
      <c r="Q8">
        <v>1</v>
      </c>
      <c r="W8">
        <v>0</v>
      </c>
      <c r="X8">
        <v>-177383015</v>
      </c>
      <c r="Y8">
        <f t="shared" si="0"/>
        <v>7.13</v>
      </c>
      <c r="AA8">
        <v>0</v>
      </c>
      <c r="AB8">
        <v>1048.47</v>
      </c>
      <c r="AC8">
        <v>450.77</v>
      </c>
      <c r="AD8">
        <v>0</v>
      </c>
      <c r="AE8">
        <v>0</v>
      </c>
      <c r="AF8">
        <v>79.069999999999993</v>
      </c>
      <c r="AG8">
        <v>13.5</v>
      </c>
      <c r="AH8">
        <v>0</v>
      </c>
      <c r="AI8">
        <v>1</v>
      </c>
      <c r="AJ8">
        <v>13.26</v>
      </c>
      <c r="AK8">
        <v>33.39</v>
      </c>
      <c r="AL8">
        <v>1</v>
      </c>
      <c r="AM8">
        <v>4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6</v>
      </c>
      <c r="AT8">
        <v>7.13</v>
      </c>
      <c r="AU8" t="s">
        <v>6</v>
      </c>
      <c r="AV8">
        <v>0</v>
      </c>
      <c r="AW8">
        <v>2</v>
      </c>
      <c r="AX8">
        <v>67647375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f>ROUND(Y8*Source!I26*DO8,7)</f>
        <v>0</v>
      </c>
      <c r="CX8">
        <f>ROUND(Y8*Source!I26,7)</f>
        <v>9.4543800000000005</v>
      </c>
      <c r="CY8">
        <f>AB8</f>
        <v>1048.47</v>
      </c>
      <c r="CZ8">
        <f>AF8</f>
        <v>79.069999999999993</v>
      </c>
      <c r="DA8">
        <f>AJ8</f>
        <v>13.26</v>
      </c>
      <c r="DB8">
        <f t="shared" si="1"/>
        <v>563.77</v>
      </c>
      <c r="DC8">
        <f t="shared" si="2"/>
        <v>96.26</v>
      </c>
      <c r="DD8" t="s">
        <v>6</v>
      </c>
      <c r="DE8" t="s">
        <v>6</v>
      </c>
      <c r="DF8">
        <f>ROUND(ROUND(AE8,2)*CX8,2)</f>
        <v>0</v>
      </c>
      <c r="DG8">
        <f>ROUND(ROUND(AF8*AJ8,2)*CX8,2)</f>
        <v>9912.6299999999992</v>
      </c>
      <c r="DH8">
        <f>Source!I26*SmtRes!Y8</f>
        <v>9.4543800000000005</v>
      </c>
      <c r="DI8">
        <f>AB8</f>
        <v>1048.47</v>
      </c>
      <c r="DJ8">
        <f>EtalonRes!Z8</f>
        <v>79.069999999999993</v>
      </c>
      <c r="DK8" t="e">
        <f>Source!BB26</f>
        <v>#REF!</v>
      </c>
      <c r="DL8" t="s">
        <v>6</v>
      </c>
      <c r="DM8">
        <v>0</v>
      </c>
      <c r="DN8" t="s">
        <v>6</v>
      </c>
      <c r="DO8">
        <v>0</v>
      </c>
      <c r="GQ8">
        <v>-1</v>
      </c>
      <c r="GR8">
        <v>-1</v>
      </c>
    </row>
    <row r="9" spans="1:200" x14ac:dyDescent="0.2">
      <c r="A9">
        <f>ROW(Source!A26)</f>
        <v>26</v>
      </c>
      <c r="B9">
        <v>67643165</v>
      </c>
      <c r="C9">
        <v>67643230</v>
      </c>
      <c r="D9">
        <v>49672087</v>
      </c>
      <c r="E9">
        <v>1</v>
      </c>
      <c r="F9">
        <v>1</v>
      </c>
      <c r="G9">
        <v>1</v>
      </c>
      <c r="H9">
        <v>2</v>
      </c>
      <c r="I9" t="s">
        <v>348</v>
      </c>
      <c r="J9" t="s">
        <v>349</v>
      </c>
      <c r="K9" t="s">
        <v>350</v>
      </c>
      <c r="L9">
        <v>1367</v>
      </c>
      <c r="N9">
        <v>1011</v>
      </c>
      <c r="O9" t="s">
        <v>346</v>
      </c>
      <c r="P9" t="s">
        <v>346</v>
      </c>
      <c r="Q9">
        <v>1</v>
      </c>
      <c r="W9">
        <v>0</v>
      </c>
      <c r="X9">
        <v>145565111</v>
      </c>
      <c r="Y9">
        <f t="shared" si="0"/>
        <v>21.4</v>
      </c>
      <c r="AA9">
        <v>0</v>
      </c>
      <c r="AB9">
        <v>1528.48</v>
      </c>
      <c r="AC9">
        <v>450.77</v>
      </c>
      <c r="AD9">
        <v>0</v>
      </c>
      <c r="AE9">
        <v>0</v>
      </c>
      <c r="AF9">
        <v>115.27</v>
      </c>
      <c r="AG9">
        <v>13.5</v>
      </c>
      <c r="AH9">
        <v>0</v>
      </c>
      <c r="AI9">
        <v>1</v>
      </c>
      <c r="AJ9">
        <v>13.26</v>
      </c>
      <c r="AK9">
        <v>33.39</v>
      </c>
      <c r="AL9">
        <v>1</v>
      </c>
      <c r="AM9">
        <v>4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6</v>
      </c>
      <c r="AT9">
        <v>21.4</v>
      </c>
      <c r="AU9" t="s">
        <v>6</v>
      </c>
      <c r="AV9">
        <v>0</v>
      </c>
      <c r="AW9">
        <v>2</v>
      </c>
      <c r="AX9">
        <v>67647376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f>ROUND(Y9*Source!I26*DO9,7)</f>
        <v>0</v>
      </c>
      <c r="CX9">
        <f>ROUND(Y9*Source!I26,7)</f>
        <v>28.3764</v>
      </c>
      <c r="CY9">
        <f>AB9</f>
        <v>1528.48</v>
      </c>
      <c r="CZ9">
        <f>AF9</f>
        <v>115.27</v>
      </c>
      <c r="DA9">
        <f>AJ9</f>
        <v>13.26</v>
      </c>
      <c r="DB9">
        <f t="shared" si="1"/>
        <v>2466.7800000000002</v>
      </c>
      <c r="DC9">
        <f t="shared" si="2"/>
        <v>288.89999999999998</v>
      </c>
      <c r="DD9" t="s">
        <v>6</v>
      </c>
      <c r="DE9" t="s">
        <v>6</v>
      </c>
      <c r="DF9">
        <f>ROUND(ROUND(AE9,2)*CX9,2)</f>
        <v>0</v>
      </c>
      <c r="DG9">
        <f>ROUND(ROUND(AF9*AJ9,2)*CX9,2)</f>
        <v>43372.76</v>
      </c>
      <c r="DH9">
        <f>Source!I26*SmtRes!Y9</f>
        <v>28.3764</v>
      </c>
      <c r="DI9">
        <f>AB9</f>
        <v>1528.48</v>
      </c>
      <c r="DJ9">
        <f>EtalonRes!Z9</f>
        <v>115.27</v>
      </c>
      <c r="DK9" t="e">
        <f>Source!BB26</f>
        <v>#REF!</v>
      </c>
      <c r="DL9" t="s">
        <v>6</v>
      </c>
      <c r="DM9">
        <v>0</v>
      </c>
      <c r="DN9" t="s">
        <v>6</v>
      </c>
      <c r="DO9">
        <v>0</v>
      </c>
      <c r="GQ9">
        <v>-1</v>
      </c>
      <c r="GR9">
        <v>-1</v>
      </c>
    </row>
    <row r="10" spans="1:200" x14ac:dyDescent="0.2">
      <c r="A10">
        <f>ROW(Source!A26)</f>
        <v>26</v>
      </c>
      <c r="B10">
        <v>67643165</v>
      </c>
      <c r="C10">
        <v>67643230</v>
      </c>
      <c r="D10">
        <v>49527444</v>
      </c>
      <c r="E10">
        <v>1</v>
      </c>
      <c r="F10">
        <v>1</v>
      </c>
      <c r="G10">
        <v>1</v>
      </c>
      <c r="H10">
        <v>3</v>
      </c>
      <c r="I10" t="s">
        <v>31</v>
      </c>
      <c r="J10" t="s">
        <v>34</v>
      </c>
      <c r="K10" t="s">
        <v>32</v>
      </c>
      <c r="L10">
        <v>1339</v>
      </c>
      <c r="N10">
        <v>1007</v>
      </c>
      <c r="O10" t="s">
        <v>33</v>
      </c>
      <c r="P10" t="s">
        <v>33</v>
      </c>
      <c r="Q10">
        <v>1</v>
      </c>
      <c r="W10">
        <v>1</v>
      </c>
      <c r="X10">
        <v>-1769920836</v>
      </c>
      <c r="Y10">
        <f t="shared" si="0"/>
        <v>-0.04</v>
      </c>
      <c r="AA10">
        <v>987.52</v>
      </c>
      <c r="AB10">
        <v>0</v>
      </c>
      <c r="AC10">
        <v>0</v>
      </c>
      <c r="AD10">
        <v>0</v>
      </c>
      <c r="AE10">
        <v>108.4</v>
      </c>
      <c r="AF10">
        <v>0</v>
      </c>
      <c r="AG10">
        <v>0</v>
      </c>
      <c r="AH10">
        <v>0</v>
      </c>
      <c r="AI10">
        <v>9.11</v>
      </c>
      <c r="AJ10">
        <v>1</v>
      </c>
      <c r="AK10">
        <v>1</v>
      </c>
      <c r="AL10">
        <v>1</v>
      </c>
      <c r="AM10">
        <v>4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6</v>
      </c>
      <c r="AT10">
        <v>-0.04</v>
      </c>
      <c r="AU10" t="s">
        <v>6</v>
      </c>
      <c r="AV10">
        <v>0</v>
      </c>
      <c r="AW10">
        <v>2</v>
      </c>
      <c r="AX10">
        <v>67647377</v>
      </c>
      <c r="AY10">
        <v>1</v>
      </c>
      <c r="AZ10">
        <v>6144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ROUND(Y10*Source!I26,7)</f>
        <v>-5.3039999999999997E-2</v>
      </c>
      <c r="CY10">
        <f>AA10</f>
        <v>987.52</v>
      </c>
      <c r="CZ10">
        <f>AE10</f>
        <v>108.4</v>
      </c>
      <c r="DA10">
        <f>AI10</f>
        <v>9.11</v>
      </c>
      <c r="DB10">
        <f t="shared" si="1"/>
        <v>-4.34</v>
      </c>
      <c r="DC10">
        <f t="shared" si="2"/>
        <v>0</v>
      </c>
      <c r="DD10" t="s">
        <v>6</v>
      </c>
      <c r="DE10" t="s">
        <v>6</v>
      </c>
      <c r="DF10">
        <f>ROUND(ROUND(AE10*AI10,2)*CX10,2)</f>
        <v>-52.38</v>
      </c>
      <c r="DG10">
        <f>ROUND(ROUND(AF10,2)*CX10,2)</f>
        <v>0</v>
      </c>
      <c r="DH10">
        <f>Source!I26*SmtRes!Y10</f>
        <v>-5.3040000000000004E-2</v>
      </c>
      <c r="DI10">
        <f>AA10</f>
        <v>987.52</v>
      </c>
      <c r="DJ10">
        <f>EtalonRes!Y10</f>
        <v>108.4</v>
      </c>
      <c r="DK10" t="e">
        <f>Source!BC26</f>
        <v>#REF!</v>
      </c>
      <c r="DL10" t="s">
        <v>6</v>
      </c>
      <c r="DM10">
        <v>0</v>
      </c>
      <c r="DN10" t="s">
        <v>6</v>
      </c>
      <c r="DO10">
        <v>0</v>
      </c>
      <c r="GP10">
        <v>0</v>
      </c>
      <c r="GQ10">
        <v>-1</v>
      </c>
      <c r="GR10">
        <v>-1</v>
      </c>
    </row>
    <row r="11" spans="1:200" x14ac:dyDescent="0.2">
      <c r="A11">
        <f>ROW(Source!A29)</f>
        <v>29</v>
      </c>
      <c r="B11">
        <v>67643165</v>
      </c>
      <c r="C11">
        <v>67643242</v>
      </c>
      <c r="D11">
        <v>49510681</v>
      </c>
      <c r="E11">
        <v>70</v>
      </c>
      <c r="F11">
        <v>1</v>
      </c>
      <c r="G11">
        <v>1</v>
      </c>
      <c r="H11">
        <v>1</v>
      </c>
      <c r="I11" t="s">
        <v>338</v>
      </c>
      <c r="J11" t="s">
        <v>6</v>
      </c>
      <c r="K11" t="s">
        <v>339</v>
      </c>
      <c r="L11">
        <v>1191</v>
      </c>
      <c r="N11">
        <v>1013</v>
      </c>
      <c r="O11" t="s">
        <v>340</v>
      </c>
      <c r="P11" t="s">
        <v>340</v>
      </c>
      <c r="Q11">
        <v>1</v>
      </c>
      <c r="W11">
        <v>0</v>
      </c>
      <c r="X11">
        <v>2031828327</v>
      </c>
      <c r="Y11">
        <f t="shared" si="0"/>
        <v>3.32</v>
      </c>
      <c r="AA11">
        <v>0</v>
      </c>
      <c r="AB11">
        <v>0</v>
      </c>
      <c r="AC11">
        <v>0</v>
      </c>
      <c r="AD11">
        <v>260.44</v>
      </c>
      <c r="AE11">
        <v>0</v>
      </c>
      <c r="AF11">
        <v>0</v>
      </c>
      <c r="AG11">
        <v>0</v>
      </c>
      <c r="AH11">
        <v>7.8</v>
      </c>
      <c r="AI11">
        <v>1</v>
      </c>
      <c r="AJ11">
        <v>1</v>
      </c>
      <c r="AK11">
        <v>1</v>
      </c>
      <c r="AL11">
        <v>33.39</v>
      </c>
      <c r="AM11">
        <v>4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3.32</v>
      </c>
      <c r="AU11" t="s">
        <v>6</v>
      </c>
      <c r="AV11">
        <v>1</v>
      </c>
      <c r="AW11">
        <v>2</v>
      </c>
      <c r="AX11">
        <v>67647378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U11">
        <f>ROUND(AT11*Source!I29*AH11*AL11,2)</f>
        <v>1146.55</v>
      </c>
      <c r="CV11">
        <f>ROUND(Y11*Source!I29,7)</f>
        <v>4.4023199999999996</v>
      </c>
      <c r="CW11">
        <v>0</v>
      </c>
      <c r="CX11">
        <f>ROUND(Y11*Source!I29,7)</f>
        <v>4.4023199999999996</v>
      </c>
      <c r="CY11">
        <f>AD11</f>
        <v>260.44</v>
      </c>
      <c r="CZ11">
        <f>AH11</f>
        <v>7.8</v>
      </c>
      <c r="DA11">
        <f>AL11</f>
        <v>33.39</v>
      </c>
      <c r="DB11">
        <f t="shared" si="1"/>
        <v>25.9</v>
      </c>
      <c r="DC11">
        <f t="shared" si="2"/>
        <v>0</v>
      </c>
      <c r="DD11" t="s">
        <v>6</v>
      </c>
      <c r="DE11" t="s">
        <v>6</v>
      </c>
      <c r="DF11">
        <f>ROUND(ROUND(AE11,2)*CX11,2)</f>
        <v>0</v>
      </c>
      <c r="DG11">
        <f>ROUND(ROUND(AF11,2)*CX11,2)</f>
        <v>0</v>
      </c>
      <c r="DH11">
        <f>Source!I29*SmtRes!Y11</f>
        <v>4.4023200000000005</v>
      </c>
      <c r="DI11">
        <f>AD11</f>
        <v>260.44</v>
      </c>
      <c r="DJ11">
        <f>EtalonRes!AB11</f>
        <v>7.8</v>
      </c>
      <c r="DK11" t="e">
        <f>Source!BA29</f>
        <v>#REF!</v>
      </c>
      <c r="DL11" t="s">
        <v>6</v>
      </c>
      <c r="DM11">
        <v>0</v>
      </c>
      <c r="DN11" t="s">
        <v>6</v>
      </c>
      <c r="DO11">
        <v>0</v>
      </c>
      <c r="GQ11">
        <v>-1</v>
      </c>
      <c r="GR11">
        <v>-1</v>
      </c>
    </row>
    <row r="12" spans="1:200" x14ac:dyDescent="0.2">
      <c r="A12">
        <f>ROW(Source!A29)</f>
        <v>29</v>
      </c>
      <c r="B12">
        <v>67643165</v>
      </c>
      <c r="C12">
        <v>67643242</v>
      </c>
      <c r="D12">
        <v>49510905</v>
      </c>
      <c r="E12">
        <v>70</v>
      </c>
      <c r="F12">
        <v>1</v>
      </c>
      <c r="G12">
        <v>1</v>
      </c>
      <c r="H12">
        <v>1</v>
      </c>
      <c r="I12" t="s">
        <v>341</v>
      </c>
      <c r="J12" t="s">
        <v>6</v>
      </c>
      <c r="K12" t="s">
        <v>342</v>
      </c>
      <c r="L12">
        <v>1191</v>
      </c>
      <c r="N12">
        <v>1013</v>
      </c>
      <c r="O12" t="s">
        <v>340</v>
      </c>
      <c r="P12" t="s">
        <v>340</v>
      </c>
      <c r="Q12">
        <v>1</v>
      </c>
      <c r="W12">
        <v>0</v>
      </c>
      <c r="X12">
        <v>-1417349443</v>
      </c>
      <c r="Y12">
        <f t="shared" si="0"/>
        <v>3.69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33.39</v>
      </c>
      <c r="AL12">
        <v>1</v>
      </c>
      <c r="AM12">
        <v>4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3.69</v>
      </c>
      <c r="AU12" t="s">
        <v>6</v>
      </c>
      <c r="AV12">
        <v>2</v>
      </c>
      <c r="AW12">
        <v>2</v>
      </c>
      <c r="AX12">
        <v>67647379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ROUND(Y12*Source!I29,7)</f>
        <v>4.8929400000000003</v>
      </c>
      <c r="CY12">
        <f>AD12</f>
        <v>0</v>
      </c>
      <c r="CZ12">
        <f>AH12</f>
        <v>0</v>
      </c>
      <c r="DA12">
        <f>AL12</f>
        <v>1</v>
      </c>
      <c r="DB12">
        <f t="shared" si="1"/>
        <v>0</v>
      </c>
      <c r="DC12">
        <f t="shared" si="2"/>
        <v>0</v>
      </c>
      <c r="DD12" t="s">
        <v>6</v>
      </c>
      <c r="DE12" t="s">
        <v>6</v>
      </c>
      <c r="DF12">
        <f>ROUND(ROUND(AE12,2)*CX12,2)</f>
        <v>0</v>
      </c>
      <c r="DG12">
        <f>ROUND(ROUND(AF12,2)*CX12,2)</f>
        <v>0</v>
      </c>
      <c r="DH12">
        <f>Source!I29*SmtRes!Y12</f>
        <v>4.8929400000000003</v>
      </c>
      <c r="DI12">
        <f>AD12</f>
        <v>0</v>
      </c>
      <c r="DJ12">
        <f>EtalonRes!AB12</f>
        <v>0</v>
      </c>
      <c r="DK12" t="e">
        <f>Source!BA29</f>
        <v>#REF!</v>
      </c>
      <c r="DL12" t="s">
        <v>6</v>
      </c>
      <c r="DM12">
        <v>0</v>
      </c>
      <c r="DN12" t="s">
        <v>6</v>
      </c>
      <c r="DO12">
        <v>0</v>
      </c>
      <c r="GQ12">
        <v>-1</v>
      </c>
      <c r="GR12">
        <v>-1</v>
      </c>
    </row>
    <row r="13" spans="1:200" x14ac:dyDescent="0.2">
      <c r="A13">
        <f>ROW(Source!A29)</f>
        <v>29</v>
      </c>
      <c r="B13">
        <v>67643165</v>
      </c>
      <c r="C13">
        <v>67643242</v>
      </c>
      <c r="D13">
        <v>49672022</v>
      </c>
      <c r="E13">
        <v>1</v>
      </c>
      <c r="F13">
        <v>1</v>
      </c>
      <c r="G13">
        <v>1</v>
      </c>
      <c r="H13">
        <v>2</v>
      </c>
      <c r="I13" t="s">
        <v>343</v>
      </c>
      <c r="J13" t="s">
        <v>344</v>
      </c>
      <c r="K13" t="s">
        <v>345</v>
      </c>
      <c r="L13">
        <v>1367</v>
      </c>
      <c r="N13">
        <v>1011</v>
      </c>
      <c r="O13" t="s">
        <v>346</v>
      </c>
      <c r="P13" t="s">
        <v>346</v>
      </c>
      <c r="Q13">
        <v>1</v>
      </c>
      <c r="W13">
        <v>0</v>
      </c>
      <c r="X13">
        <v>-177383015</v>
      </c>
      <c r="Y13">
        <f t="shared" si="0"/>
        <v>3.61</v>
      </c>
      <c r="AA13">
        <v>0</v>
      </c>
      <c r="AB13">
        <v>1048.47</v>
      </c>
      <c r="AC13">
        <v>450.77</v>
      </c>
      <c r="AD13">
        <v>0</v>
      </c>
      <c r="AE13">
        <v>0</v>
      </c>
      <c r="AF13">
        <v>79.069999999999993</v>
      </c>
      <c r="AG13">
        <v>13.5</v>
      </c>
      <c r="AH13">
        <v>0</v>
      </c>
      <c r="AI13">
        <v>1</v>
      </c>
      <c r="AJ13">
        <v>13.26</v>
      </c>
      <c r="AK13">
        <v>33.39</v>
      </c>
      <c r="AL13">
        <v>1</v>
      </c>
      <c r="AM13">
        <v>4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6</v>
      </c>
      <c r="AT13">
        <v>3.61</v>
      </c>
      <c r="AU13" t="s">
        <v>6</v>
      </c>
      <c r="AV13">
        <v>0</v>
      </c>
      <c r="AW13">
        <v>2</v>
      </c>
      <c r="AX13">
        <v>67647380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f>ROUND(Y13*Source!I29*DO13,7)</f>
        <v>0</v>
      </c>
      <c r="CX13">
        <f>ROUND(Y13*Source!I29,7)</f>
        <v>4.7868599999999999</v>
      </c>
      <c r="CY13">
        <f>AB13</f>
        <v>1048.47</v>
      </c>
      <c r="CZ13">
        <f>AF13</f>
        <v>79.069999999999993</v>
      </c>
      <c r="DA13">
        <f>AJ13</f>
        <v>13.26</v>
      </c>
      <c r="DB13">
        <f t="shared" si="1"/>
        <v>285.44</v>
      </c>
      <c r="DC13">
        <f t="shared" si="2"/>
        <v>48.74</v>
      </c>
      <c r="DD13" t="s">
        <v>6</v>
      </c>
      <c r="DE13" t="s">
        <v>6</v>
      </c>
      <c r="DF13">
        <f>ROUND(ROUND(AE13,2)*CX13,2)</f>
        <v>0</v>
      </c>
      <c r="DG13">
        <f>ROUND(ROUND(AF13*AJ13,2)*CX13,2)</f>
        <v>5018.88</v>
      </c>
      <c r="DH13">
        <f>Source!I29*SmtRes!Y13</f>
        <v>4.7868599999999999</v>
      </c>
      <c r="DI13">
        <f>AB13</f>
        <v>1048.47</v>
      </c>
      <c r="DJ13">
        <f>EtalonRes!Z13</f>
        <v>79.069999999999993</v>
      </c>
      <c r="DK13" t="e">
        <f>Source!BB29</f>
        <v>#REF!</v>
      </c>
      <c r="DL13" t="s">
        <v>6</v>
      </c>
      <c r="DM13">
        <v>0</v>
      </c>
      <c r="DN13" t="s">
        <v>6</v>
      </c>
      <c r="DO13">
        <v>0</v>
      </c>
      <c r="GQ13">
        <v>-1</v>
      </c>
      <c r="GR13">
        <v>-1</v>
      </c>
    </row>
    <row r="14" spans="1:200" x14ac:dyDescent="0.2">
      <c r="A14">
        <f>ROW(Source!A29)</f>
        <v>29</v>
      </c>
      <c r="B14">
        <v>67643165</v>
      </c>
      <c r="C14">
        <v>67643242</v>
      </c>
      <c r="D14">
        <v>49673509</v>
      </c>
      <c r="E14">
        <v>1</v>
      </c>
      <c r="F14">
        <v>1</v>
      </c>
      <c r="G14">
        <v>1</v>
      </c>
      <c r="H14">
        <v>2</v>
      </c>
      <c r="I14" t="s">
        <v>351</v>
      </c>
      <c r="J14" t="s">
        <v>352</v>
      </c>
      <c r="K14" t="s">
        <v>353</v>
      </c>
      <c r="L14">
        <v>1367</v>
      </c>
      <c r="N14">
        <v>1011</v>
      </c>
      <c r="O14" t="s">
        <v>346</v>
      </c>
      <c r="P14" t="s">
        <v>346</v>
      </c>
      <c r="Q14">
        <v>1</v>
      </c>
      <c r="W14">
        <v>0</v>
      </c>
      <c r="X14">
        <v>1222335095</v>
      </c>
      <c r="Y14">
        <f t="shared" si="0"/>
        <v>0.08</v>
      </c>
      <c r="AA14">
        <v>0</v>
      </c>
      <c r="AB14">
        <v>1187.3</v>
      </c>
      <c r="AC14">
        <v>387.32</v>
      </c>
      <c r="AD14">
        <v>0</v>
      </c>
      <c r="AE14">
        <v>0</v>
      </c>
      <c r="AF14">
        <v>89.54</v>
      </c>
      <c r="AG14">
        <v>11.6</v>
      </c>
      <c r="AH14">
        <v>0</v>
      </c>
      <c r="AI14">
        <v>1</v>
      </c>
      <c r="AJ14">
        <v>13.26</v>
      </c>
      <c r="AK14">
        <v>33.39</v>
      </c>
      <c r="AL14">
        <v>1</v>
      </c>
      <c r="AM14">
        <v>4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6</v>
      </c>
      <c r="AT14">
        <v>0.08</v>
      </c>
      <c r="AU14" t="s">
        <v>6</v>
      </c>
      <c r="AV14">
        <v>0</v>
      </c>
      <c r="AW14">
        <v>2</v>
      </c>
      <c r="AX14">
        <v>67647381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f>ROUND(Y14*Source!I29*DO14,7)</f>
        <v>0</v>
      </c>
      <c r="CX14">
        <f>ROUND(Y14*Source!I29,7)</f>
        <v>0.10607999999999999</v>
      </c>
      <c r="CY14">
        <f>AB14</f>
        <v>1187.3</v>
      </c>
      <c r="CZ14">
        <f>AF14</f>
        <v>89.54</v>
      </c>
      <c r="DA14">
        <f>AJ14</f>
        <v>13.26</v>
      </c>
      <c r="DB14">
        <f t="shared" si="1"/>
        <v>7.16</v>
      </c>
      <c r="DC14">
        <f t="shared" si="2"/>
        <v>0.93</v>
      </c>
      <c r="DD14" t="s">
        <v>6</v>
      </c>
      <c r="DE14" t="s">
        <v>6</v>
      </c>
      <c r="DF14">
        <f>ROUND(ROUND(AE14,2)*CX14,2)</f>
        <v>0</v>
      </c>
      <c r="DG14">
        <f>ROUND(ROUND(AF14*AJ14,2)*CX14,2)</f>
        <v>125.95</v>
      </c>
      <c r="DH14">
        <f>Source!I29*SmtRes!Y14</f>
        <v>0.10608000000000001</v>
      </c>
      <c r="DI14">
        <f>AB14</f>
        <v>1187.3</v>
      </c>
      <c r="DJ14">
        <f>EtalonRes!Z14</f>
        <v>89.54</v>
      </c>
      <c r="DK14" t="e">
        <f>Source!BB29</f>
        <v>#REF!</v>
      </c>
      <c r="DL14" t="s">
        <v>6</v>
      </c>
      <c r="DM14">
        <v>0</v>
      </c>
      <c r="DN14" t="s">
        <v>6</v>
      </c>
      <c r="DO14">
        <v>0</v>
      </c>
      <c r="GQ14">
        <v>-1</v>
      </c>
      <c r="GR14">
        <v>-1</v>
      </c>
    </row>
    <row r="15" spans="1:200" x14ac:dyDescent="0.2">
      <c r="A15">
        <f>ROW(Source!A29)</f>
        <v>29</v>
      </c>
      <c r="B15">
        <v>67643165</v>
      </c>
      <c r="C15">
        <v>67643242</v>
      </c>
      <c r="D15">
        <v>49527444</v>
      </c>
      <c r="E15">
        <v>1</v>
      </c>
      <c r="F15">
        <v>1</v>
      </c>
      <c r="G15">
        <v>1</v>
      </c>
      <c r="H15">
        <v>3</v>
      </c>
      <c r="I15" t="s">
        <v>31</v>
      </c>
      <c r="J15" t="s">
        <v>34</v>
      </c>
      <c r="K15" t="s">
        <v>32</v>
      </c>
      <c r="L15">
        <v>1339</v>
      </c>
      <c r="N15">
        <v>1007</v>
      </c>
      <c r="O15" t="s">
        <v>33</v>
      </c>
      <c r="P15" t="s">
        <v>33</v>
      </c>
      <c r="Q15">
        <v>1</v>
      </c>
      <c r="W15">
        <v>1</v>
      </c>
      <c r="X15">
        <v>-1769920836</v>
      </c>
      <c r="Y15">
        <f t="shared" si="0"/>
        <v>-0.04</v>
      </c>
      <c r="AA15">
        <v>987.52</v>
      </c>
      <c r="AB15">
        <v>0</v>
      </c>
      <c r="AC15">
        <v>0</v>
      </c>
      <c r="AD15">
        <v>0</v>
      </c>
      <c r="AE15">
        <v>108.4</v>
      </c>
      <c r="AF15">
        <v>0</v>
      </c>
      <c r="AG15">
        <v>0</v>
      </c>
      <c r="AH15">
        <v>0</v>
      </c>
      <c r="AI15">
        <v>9.11</v>
      </c>
      <c r="AJ15">
        <v>1</v>
      </c>
      <c r="AK15">
        <v>1</v>
      </c>
      <c r="AL15">
        <v>1</v>
      </c>
      <c r="AM15">
        <v>4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-0.04</v>
      </c>
      <c r="AU15" t="s">
        <v>6</v>
      </c>
      <c r="AV15">
        <v>0</v>
      </c>
      <c r="AW15">
        <v>2</v>
      </c>
      <c r="AX15">
        <v>67647382</v>
      </c>
      <c r="AY15">
        <v>1</v>
      </c>
      <c r="AZ15">
        <v>6144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ROUND(Y15*Source!I29,7)</f>
        <v>-5.3039999999999997E-2</v>
      </c>
      <c r="CY15">
        <f>AA15</f>
        <v>987.52</v>
      </c>
      <c r="CZ15">
        <f>AE15</f>
        <v>108.4</v>
      </c>
      <c r="DA15">
        <f>AI15</f>
        <v>9.11</v>
      </c>
      <c r="DB15">
        <f t="shared" si="1"/>
        <v>-4.34</v>
      </c>
      <c r="DC15">
        <f t="shared" si="2"/>
        <v>0</v>
      </c>
      <c r="DD15" t="s">
        <v>6</v>
      </c>
      <c r="DE15" t="s">
        <v>6</v>
      </c>
      <c r="DF15">
        <f>ROUND(ROUND(AE15*AI15,2)*CX15,2)</f>
        <v>-52.38</v>
      </c>
      <c r="DG15">
        <f>ROUND(ROUND(AF15,2)*CX15,2)</f>
        <v>0</v>
      </c>
      <c r="DH15">
        <f>Source!I29*SmtRes!Y15</f>
        <v>-5.3040000000000004E-2</v>
      </c>
      <c r="DI15">
        <f>AA15</f>
        <v>987.52</v>
      </c>
      <c r="DJ15">
        <f>EtalonRes!Y15</f>
        <v>108.4</v>
      </c>
      <c r="DK15" t="e">
        <f>Source!BC29</f>
        <v>#REF!</v>
      </c>
      <c r="DL15" t="s">
        <v>6</v>
      </c>
      <c r="DM15">
        <v>0</v>
      </c>
      <c r="DN15" t="s">
        <v>6</v>
      </c>
      <c r="DO15">
        <v>0</v>
      </c>
      <c r="GP15">
        <v>0</v>
      </c>
      <c r="GQ15">
        <v>-1</v>
      </c>
      <c r="GR15">
        <v>-1</v>
      </c>
    </row>
    <row r="16" spans="1:200" x14ac:dyDescent="0.2">
      <c r="A16">
        <f>ROW(Source!A31)</f>
        <v>31</v>
      </c>
      <c r="B16">
        <v>67643165</v>
      </c>
      <c r="C16">
        <v>67643258</v>
      </c>
      <c r="D16">
        <v>49510681</v>
      </c>
      <c r="E16">
        <v>70</v>
      </c>
      <c r="F16">
        <v>1</v>
      </c>
      <c r="G16">
        <v>1</v>
      </c>
      <c r="H16">
        <v>1</v>
      </c>
      <c r="I16" t="s">
        <v>338</v>
      </c>
      <c r="J16" t="s">
        <v>6</v>
      </c>
      <c r="K16" t="s">
        <v>339</v>
      </c>
      <c r="L16">
        <v>1191</v>
      </c>
      <c r="N16">
        <v>1013</v>
      </c>
      <c r="O16" t="s">
        <v>340</v>
      </c>
      <c r="P16" t="s">
        <v>340</v>
      </c>
      <c r="Q16">
        <v>1</v>
      </c>
      <c r="W16">
        <v>0</v>
      </c>
      <c r="X16">
        <v>2031828327</v>
      </c>
      <c r="Y16">
        <f>(AT16*ROUND((1.2*1.15),7))</f>
        <v>212.51999999999998</v>
      </c>
      <c r="AA16">
        <v>0</v>
      </c>
      <c r="AB16">
        <v>0</v>
      </c>
      <c r="AC16">
        <v>0</v>
      </c>
      <c r="AD16">
        <v>260.44</v>
      </c>
      <c r="AE16">
        <v>0</v>
      </c>
      <c r="AF16">
        <v>0</v>
      </c>
      <c r="AG16">
        <v>0</v>
      </c>
      <c r="AH16">
        <v>7.8</v>
      </c>
      <c r="AI16">
        <v>1</v>
      </c>
      <c r="AJ16">
        <v>1</v>
      </c>
      <c r="AK16">
        <v>1</v>
      </c>
      <c r="AL16">
        <v>33.39</v>
      </c>
      <c r="AM16">
        <v>4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154</v>
      </c>
      <c r="AU16" t="s">
        <v>60</v>
      </c>
      <c r="AV16">
        <v>1</v>
      </c>
      <c r="AW16">
        <v>2</v>
      </c>
      <c r="AX16">
        <v>67647385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U16">
        <f>ROUND(AT16*Source!I31*AH16*AL16,2)</f>
        <v>10187.450000000001</v>
      </c>
      <c r="CV16">
        <f>ROUND(Y16*Source!I31,7)</f>
        <v>53.980080000000001</v>
      </c>
      <c r="CW16">
        <v>0</v>
      </c>
      <c r="CX16">
        <f>ROUND(Y16*Source!I31,7)</f>
        <v>53.980080000000001</v>
      </c>
      <c r="CY16">
        <f>AD16</f>
        <v>260.44</v>
      </c>
      <c r="CZ16">
        <f>AH16</f>
        <v>7.8</v>
      </c>
      <c r="DA16">
        <f>AL16</f>
        <v>33.39</v>
      </c>
      <c r="DB16">
        <f>ROUND((ROUND(AT16*CZ16,2)*ROUND((1.2*1.15),7)),2)</f>
        <v>1657.66</v>
      </c>
      <c r="DC16">
        <f>ROUND((ROUND(AT16*AG16,2)*ROUND((1.2*1.15),7)),2)</f>
        <v>0</v>
      </c>
      <c r="DD16" t="s">
        <v>6</v>
      </c>
      <c r="DE16" t="s">
        <v>6</v>
      </c>
      <c r="DF16">
        <f>ROUND(ROUND(AE16,2)*CX16,2)</f>
        <v>0</v>
      </c>
      <c r="DG16">
        <f>ROUND(ROUND(AF16,2)*CX16,2)</f>
        <v>0</v>
      </c>
      <c r="DH16">
        <f>Source!I31*SmtRes!Y16</f>
        <v>53.980079999999994</v>
      </c>
      <c r="DI16">
        <f>AD16</f>
        <v>260.44</v>
      </c>
      <c r="DJ16">
        <f>EtalonRes!AB16</f>
        <v>7.8</v>
      </c>
      <c r="DK16" t="e">
        <f>Source!BA31</f>
        <v>#REF!</v>
      </c>
      <c r="DL16" t="s">
        <v>6</v>
      </c>
      <c r="DM16">
        <v>0</v>
      </c>
      <c r="DN16" t="s">
        <v>6</v>
      </c>
      <c r="DO16">
        <v>0</v>
      </c>
      <c r="GQ16">
        <v>-1</v>
      </c>
      <c r="GR16">
        <v>-1</v>
      </c>
    </row>
    <row r="17" spans="1:200" x14ac:dyDescent="0.2">
      <c r="A17">
        <f>ROW(Source!A32)</f>
        <v>32</v>
      </c>
      <c r="B17">
        <v>67643165</v>
      </c>
      <c r="C17">
        <v>67643261</v>
      </c>
      <c r="D17">
        <v>49510697</v>
      </c>
      <c r="E17">
        <v>70</v>
      </c>
      <c r="F17">
        <v>1</v>
      </c>
      <c r="G17">
        <v>1</v>
      </c>
      <c r="H17">
        <v>1</v>
      </c>
      <c r="I17" t="s">
        <v>354</v>
      </c>
      <c r="J17" t="s">
        <v>6</v>
      </c>
      <c r="K17" t="s">
        <v>355</v>
      </c>
      <c r="L17">
        <v>1191</v>
      </c>
      <c r="N17">
        <v>1013</v>
      </c>
      <c r="O17" t="s">
        <v>340</v>
      </c>
      <c r="P17" t="s">
        <v>340</v>
      </c>
      <c r="Q17">
        <v>1</v>
      </c>
      <c r="W17">
        <v>0</v>
      </c>
      <c r="X17">
        <v>388411409</v>
      </c>
      <c r="Y17">
        <f t="shared" ref="Y17:Y48" si="3">AT17</f>
        <v>10.199999999999999</v>
      </c>
      <c r="AA17">
        <v>0</v>
      </c>
      <c r="AB17">
        <v>0</v>
      </c>
      <c r="AC17">
        <v>0</v>
      </c>
      <c r="AD17">
        <v>272.8</v>
      </c>
      <c r="AE17">
        <v>0</v>
      </c>
      <c r="AF17">
        <v>0</v>
      </c>
      <c r="AG17">
        <v>0</v>
      </c>
      <c r="AH17">
        <v>8.17</v>
      </c>
      <c r="AI17">
        <v>1</v>
      </c>
      <c r="AJ17">
        <v>1</v>
      </c>
      <c r="AK17">
        <v>1</v>
      </c>
      <c r="AL17">
        <v>33.39</v>
      </c>
      <c r="AM17">
        <v>4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6</v>
      </c>
      <c r="AT17">
        <v>10.199999999999999</v>
      </c>
      <c r="AU17" t="s">
        <v>6</v>
      </c>
      <c r="AV17">
        <v>1</v>
      </c>
      <c r="AW17">
        <v>2</v>
      </c>
      <c r="AX17">
        <v>67654328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U17">
        <f>ROUND(AT17*Source!I32*AH17*AL17,2)</f>
        <v>14190.86</v>
      </c>
      <c r="CV17">
        <f>ROUND(Y17*Source!I32,7)</f>
        <v>52.02</v>
      </c>
      <c r="CW17">
        <v>0</v>
      </c>
      <c r="CX17">
        <f>ROUND(Y17*Source!I32,7)</f>
        <v>52.02</v>
      </c>
      <c r="CY17">
        <f>AD17</f>
        <v>272.8</v>
      </c>
      <c r="CZ17">
        <f>AH17</f>
        <v>8.17</v>
      </c>
      <c r="DA17">
        <f>AL17</f>
        <v>33.39</v>
      </c>
      <c r="DB17">
        <f t="shared" ref="DB17:DB48" si="4">ROUND(ROUND(AT17*CZ17,2),2)</f>
        <v>83.33</v>
      </c>
      <c r="DC17">
        <f t="shared" ref="DC17:DC48" si="5">ROUND(ROUND(AT17*AG17,2),2)</f>
        <v>0</v>
      </c>
      <c r="DD17" t="s">
        <v>6</v>
      </c>
      <c r="DE17" t="s">
        <v>6</v>
      </c>
      <c r="DF17">
        <f>ROUND(ROUND(AE17,2)*CX17,2)</f>
        <v>0</v>
      </c>
      <c r="DG17">
        <f>ROUND(ROUND(AF17,2)*CX17,2)</f>
        <v>0</v>
      </c>
      <c r="DH17">
        <f>Source!I32*SmtRes!Y17</f>
        <v>52.019999999999996</v>
      </c>
      <c r="DI17">
        <f>AD17</f>
        <v>272.8</v>
      </c>
      <c r="DJ17">
        <f>EtalonRes!AB17</f>
        <v>8.17</v>
      </c>
      <c r="DK17" t="e">
        <f>Source!BA32</f>
        <v>#REF!</v>
      </c>
      <c r="DL17" t="s">
        <v>6</v>
      </c>
      <c r="DM17">
        <v>0</v>
      </c>
      <c r="DN17" t="s">
        <v>6</v>
      </c>
      <c r="DO17">
        <v>0</v>
      </c>
      <c r="GQ17">
        <v>-1</v>
      </c>
      <c r="GR17">
        <v>-1</v>
      </c>
    </row>
    <row r="18" spans="1:200" x14ac:dyDescent="0.2">
      <c r="A18">
        <f>ROW(Source!A32)</f>
        <v>32</v>
      </c>
      <c r="B18">
        <v>67643165</v>
      </c>
      <c r="C18">
        <v>67643261</v>
      </c>
      <c r="D18">
        <v>49510905</v>
      </c>
      <c r="E18">
        <v>70</v>
      </c>
      <c r="F18">
        <v>1</v>
      </c>
      <c r="G18">
        <v>1</v>
      </c>
      <c r="H18">
        <v>1</v>
      </c>
      <c r="I18" t="s">
        <v>341</v>
      </c>
      <c r="J18" t="s">
        <v>6</v>
      </c>
      <c r="K18" t="s">
        <v>342</v>
      </c>
      <c r="L18">
        <v>1191</v>
      </c>
      <c r="N18">
        <v>1013</v>
      </c>
      <c r="O18" t="s">
        <v>340</v>
      </c>
      <c r="P18" t="s">
        <v>340</v>
      </c>
      <c r="Q18">
        <v>1</v>
      </c>
      <c r="W18">
        <v>0</v>
      </c>
      <c r="X18">
        <v>-1417349443</v>
      </c>
      <c r="Y18">
        <f t="shared" si="3"/>
        <v>0.32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33.39</v>
      </c>
      <c r="AL18">
        <v>1</v>
      </c>
      <c r="AM18">
        <v>4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6</v>
      </c>
      <c r="AT18">
        <v>0.32</v>
      </c>
      <c r="AU18" t="s">
        <v>6</v>
      </c>
      <c r="AV18">
        <v>2</v>
      </c>
      <c r="AW18">
        <v>2</v>
      </c>
      <c r="AX18">
        <v>67654329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ROUND(Y18*Source!I32,7)</f>
        <v>1.6319999999999999</v>
      </c>
      <c r="CY18">
        <f>AD18</f>
        <v>0</v>
      </c>
      <c r="CZ18">
        <f>AH18</f>
        <v>0</v>
      </c>
      <c r="DA18">
        <f>AL18</f>
        <v>1</v>
      </c>
      <c r="DB18">
        <f t="shared" si="4"/>
        <v>0</v>
      </c>
      <c r="DC18">
        <f t="shared" si="5"/>
        <v>0</v>
      </c>
      <c r="DD18" t="s">
        <v>6</v>
      </c>
      <c r="DE18" t="s">
        <v>6</v>
      </c>
      <c r="DF18">
        <f>ROUND(ROUND(AE18,2)*CX18,2)</f>
        <v>0</v>
      </c>
      <c r="DG18">
        <f>ROUND(ROUND(AF18,2)*CX18,2)</f>
        <v>0</v>
      </c>
      <c r="DH18">
        <f>Source!I32*SmtRes!Y18</f>
        <v>1.6319999999999999</v>
      </c>
      <c r="DI18">
        <f>AD18</f>
        <v>0</v>
      </c>
      <c r="DJ18">
        <f>EtalonRes!AB18</f>
        <v>0</v>
      </c>
      <c r="DK18" t="e">
        <f>Source!BA32</f>
        <v>#REF!</v>
      </c>
      <c r="DL18" t="s">
        <v>6</v>
      </c>
      <c r="DM18">
        <v>0</v>
      </c>
      <c r="DN18" t="s">
        <v>6</v>
      </c>
      <c r="DO18">
        <v>0</v>
      </c>
      <c r="GQ18">
        <v>-1</v>
      </c>
      <c r="GR18">
        <v>-1</v>
      </c>
    </row>
    <row r="19" spans="1:200" x14ac:dyDescent="0.2">
      <c r="A19">
        <f>ROW(Source!A32)</f>
        <v>32</v>
      </c>
      <c r="B19">
        <v>67643165</v>
      </c>
      <c r="C19">
        <v>67643261</v>
      </c>
      <c r="D19">
        <v>49672727</v>
      </c>
      <c r="E19">
        <v>1</v>
      </c>
      <c r="F19">
        <v>1</v>
      </c>
      <c r="G19">
        <v>1</v>
      </c>
      <c r="H19">
        <v>2</v>
      </c>
      <c r="I19" t="s">
        <v>356</v>
      </c>
      <c r="J19" t="s">
        <v>357</v>
      </c>
      <c r="K19" t="s">
        <v>358</v>
      </c>
      <c r="L19">
        <v>1367</v>
      </c>
      <c r="N19">
        <v>1011</v>
      </c>
      <c r="O19" t="s">
        <v>346</v>
      </c>
      <c r="P19" t="s">
        <v>346</v>
      </c>
      <c r="Q19">
        <v>1</v>
      </c>
      <c r="W19">
        <v>0</v>
      </c>
      <c r="X19">
        <v>-896236776</v>
      </c>
      <c r="Y19">
        <f t="shared" si="3"/>
        <v>0.32</v>
      </c>
      <c r="AA19">
        <v>0</v>
      </c>
      <c r="AB19">
        <v>1193.27</v>
      </c>
      <c r="AC19">
        <v>335.9</v>
      </c>
      <c r="AD19">
        <v>0</v>
      </c>
      <c r="AE19">
        <v>0</v>
      </c>
      <c r="AF19">
        <v>89.99</v>
      </c>
      <c r="AG19">
        <v>10.06</v>
      </c>
      <c r="AH19">
        <v>0</v>
      </c>
      <c r="AI19">
        <v>1</v>
      </c>
      <c r="AJ19">
        <v>13.26</v>
      </c>
      <c r="AK19">
        <v>33.39</v>
      </c>
      <c r="AL19">
        <v>1</v>
      </c>
      <c r="AM19">
        <v>4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6</v>
      </c>
      <c r="AT19">
        <v>0.32</v>
      </c>
      <c r="AU19" t="s">
        <v>6</v>
      </c>
      <c r="AV19">
        <v>0</v>
      </c>
      <c r="AW19">
        <v>2</v>
      </c>
      <c r="AX19">
        <v>67654330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f>ROUND(Y19*Source!I32*DO19,7)</f>
        <v>0</v>
      </c>
      <c r="CX19">
        <f>ROUND(Y19*Source!I32,7)</f>
        <v>1.6319999999999999</v>
      </c>
      <c r="CY19">
        <f>AB19</f>
        <v>1193.27</v>
      </c>
      <c r="CZ19">
        <f>AF19</f>
        <v>89.99</v>
      </c>
      <c r="DA19">
        <f>AJ19</f>
        <v>13.26</v>
      </c>
      <c r="DB19">
        <f t="shared" si="4"/>
        <v>28.8</v>
      </c>
      <c r="DC19">
        <f t="shared" si="5"/>
        <v>3.22</v>
      </c>
      <c r="DD19" t="s">
        <v>6</v>
      </c>
      <c r="DE19" t="s">
        <v>6</v>
      </c>
      <c r="DF19">
        <f>ROUND(ROUND(AE19,2)*CX19,2)</f>
        <v>0</v>
      </c>
      <c r="DG19">
        <f>ROUND(ROUND(AF19*AJ19,2)*CX19,2)</f>
        <v>1947.42</v>
      </c>
      <c r="DH19">
        <f>Source!I32*SmtRes!Y19</f>
        <v>1.6319999999999999</v>
      </c>
      <c r="DI19">
        <f>AB19</f>
        <v>1193.27</v>
      </c>
      <c r="DJ19">
        <f>EtalonRes!Z19</f>
        <v>89.99</v>
      </c>
      <c r="DK19" t="e">
        <f>Source!BB32</f>
        <v>#REF!</v>
      </c>
      <c r="DL19" t="s">
        <v>6</v>
      </c>
      <c r="DM19">
        <v>0</v>
      </c>
      <c r="DN19" t="s">
        <v>6</v>
      </c>
      <c r="DO19">
        <v>0</v>
      </c>
      <c r="GQ19">
        <v>-1</v>
      </c>
      <c r="GR19">
        <v>-1</v>
      </c>
    </row>
    <row r="20" spans="1:200" x14ac:dyDescent="0.2">
      <c r="A20">
        <f>ROW(Source!A32)</f>
        <v>32</v>
      </c>
      <c r="B20">
        <v>67643165</v>
      </c>
      <c r="C20">
        <v>67643261</v>
      </c>
      <c r="D20">
        <v>49527498</v>
      </c>
      <c r="E20">
        <v>1</v>
      </c>
      <c r="F20">
        <v>1</v>
      </c>
      <c r="G20">
        <v>1</v>
      </c>
      <c r="H20">
        <v>3</v>
      </c>
      <c r="I20" t="s">
        <v>75</v>
      </c>
      <c r="J20" t="s">
        <v>77</v>
      </c>
      <c r="K20" t="s">
        <v>76</v>
      </c>
      <c r="L20">
        <v>1339</v>
      </c>
      <c r="N20">
        <v>1007</v>
      </c>
      <c r="O20" t="s">
        <v>33</v>
      </c>
      <c r="P20" t="s">
        <v>33</v>
      </c>
      <c r="Q20">
        <v>1</v>
      </c>
      <c r="W20">
        <v>0</v>
      </c>
      <c r="X20">
        <v>1448519192</v>
      </c>
      <c r="Y20">
        <f t="shared" si="3"/>
        <v>11</v>
      </c>
      <c r="AA20">
        <v>503.42</v>
      </c>
      <c r="AB20">
        <v>0</v>
      </c>
      <c r="AC20">
        <v>0</v>
      </c>
      <c r="AD20">
        <v>0</v>
      </c>
      <c r="AE20">
        <v>55.26</v>
      </c>
      <c r="AF20">
        <v>0</v>
      </c>
      <c r="AG20">
        <v>0</v>
      </c>
      <c r="AH20">
        <v>0</v>
      </c>
      <c r="AI20">
        <v>9.11</v>
      </c>
      <c r="AJ20">
        <v>1</v>
      </c>
      <c r="AK20">
        <v>1</v>
      </c>
      <c r="AL20">
        <v>1</v>
      </c>
      <c r="AM20">
        <v>0</v>
      </c>
      <c r="AN20">
        <v>0</v>
      </c>
      <c r="AO20">
        <v>0</v>
      </c>
      <c r="AP20">
        <v>1</v>
      </c>
      <c r="AQ20">
        <v>0</v>
      </c>
      <c r="AR20">
        <v>0</v>
      </c>
      <c r="AS20" t="s">
        <v>6</v>
      </c>
      <c r="AT20">
        <v>11</v>
      </c>
      <c r="AU20" t="s">
        <v>6</v>
      </c>
      <c r="AV20">
        <v>0</v>
      </c>
      <c r="AW20">
        <v>1</v>
      </c>
      <c r="AX20">
        <v>-1</v>
      </c>
      <c r="AY20">
        <v>0</v>
      </c>
      <c r="AZ20">
        <v>0</v>
      </c>
      <c r="BA20" t="s">
        <v>6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ROUND(Y20*Source!I32,7)</f>
        <v>56.1</v>
      </c>
      <c r="CY20">
        <f>AA20</f>
        <v>503.42</v>
      </c>
      <c r="CZ20">
        <f>AE20</f>
        <v>55.26</v>
      </c>
      <c r="DA20">
        <f>AI20</f>
        <v>9.11</v>
      </c>
      <c r="DB20">
        <f t="shared" si="4"/>
        <v>607.86</v>
      </c>
      <c r="DC20">
        <f t="shared" si="5"/>
        <v>0</v>
      </c>
      <c r="DD20" t="s">
        <v>6</v>
      </c>
      <c r="DE20" t="s">
        <v>6</v>
      </c>
      <c r="DF20">
        <f>ROUND(ROUND(AE20*AI20,2)*CX20,2)</f>
        <v>28241.86</v>
      </c>
      <c r="DG20">
        <f>ROUND(ROUND(AF20,2)*CX20,2)</f>
        <v>0</v>
      </c>
      <c r="DH20">
        <f>Source!I32*SmtRes!Y20</f>
        <v>56.099999999999994</v>
      </c>
      <c r="DI20">
        <f>AA20</f>
        <v>503.42</v>
      </c>
      <c r="DJ20">
        <f>DF20</f>
        <v>28241.86</v>
      </c>
      <c r="DK20">
        <f>Source!BC32</f>
        <v>9.11</v>
      </c>
      <c r="DL20" t="s">
        <v>6</v>
      </c>
      <c r="DM20">
        <v>0</v>
      </c>
      <c r="DN20" t="s">
        <v>6</v>
      </c>
      <c r="DO20">
        <v>0</v>
      </c>
      <c r="GP20">
        <v>1</v>
      </c>
      <c r="GQ20">
        <v>-1</v>
      </c>
      <c r="GR20">
        <v>-1</v>
      </c>
    </row>
    <row r="21" spans="1:200" x14ac:dyDescent="0.2">
      <c r="A21">
        <f>ROW(Source!A34)</f>
        <v>34</v>
      </c>
      <c r="B21">
        <v>67643165</v>
      </c>
      <c r="C21">
        <v>67643286</v>
      </c>
      <c r="D21">
        <v>49510737</v>
      </c>
      <c r="E21">
        <v>70</v>
      </c>
      <c r="F21">
        <v>1</v>
      </c>
      <c r="G21">
        <v>1</v>
      </c>
      <c r="H21">
        <v>1</v>
      </c>
      <c r="I21" t="s">
        <v>359</v>
      </c>
      <c r="J21" t="s">
        <v>6</v>
      </c>
      <c r="K21" t="s">
        <v>360</v>
      </c>
      <c r="L21">
        <v>1191</v>
      </c>
      <c r="N21">
        <v>1013</v>
      </c>
      <c r="O21" t="s">
        <v>340</v>
      </c>
      <c r="P21" t="s">
        <v>340</v>
      </c>
      <c r="Q21">
        <v>1</v>
      </c>
      <c r="W21">
        <v>0</v>
      </c>
      <c r="X21">
        <v>-1810713292</v>
      </c>
      <c r="Y21">
        <f t="shared" si="3"/>
        <v>29.68</v>
      </c>
      <c r="AA21">
        <v>0</v>
      </c>
      <c r="AB21">
        <v>0</v>
      </c>
      <c r="AC21">
        <v>0</v>
      </c>
      <c r="AD21">
        <v>306.52</v>
      </c>
      <c r="AE21">
        <v>0</v>
      </c>
      <c r="AF21">
        <v>0</v>
      </c>
      <c r="AG21">
        <v>0</v>
      </c>
      <c r="AH21">
        <v>9.18</v>
      </c>
      <c r="AI21">
        <v>1</v>
      </c>
      <c r="AJ21">
        <v>1</v>
      </c>
      <c r="AK21">
        <v>1</v>
      </c>
      <c r="AL21">
        <v>33.39</v>
      </c>
      <c r="AM21">
        <v>4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6</v>
      </c>
      <c r="AT21">
        <v>29.68</v>
      </c>
      <c r="AU21" t="s">
        <v>6</v>
      </c>
      <c r="AV21">
        <v>1</v>
      </c>
      <c r="AW21">
        <v>2</v>
      </c>
      <c r="AX21">
        <v>67654333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U21">
        <f>ROUND(AT21*Source!I34*AH21*AL21,2)</f>
        <v>40211.040000000001</v>
      </c>
      <c r="CV21">
        <f>ROUND(Y21*Source!I34,7)</f>
        <v>131.18559999999999</v>
      </c>
      <c r="CW21">
        <v>0</v>
      </c>
      <c r="CX21">
        <f>ROUND(Y21*Source!I34,7)</f>
        <v>131.18559999999999</v>
      </c>
      <c r="CY21">
        <f>AD21</f>
        <v>306.52</v>
      </c>
      <c r="CZ21">
        <f>AH21</f>
        <v>9.18</v>
      </c>
      <c r="DA21">
        <f>AL21</f>
        <v>33.39</v>
      </c>
      <c r="DB21">
        <f t="shared" si="4"/>
        <v>272.45999999999998</v>
      </c>
      <c r="DC21">
        <f t="shared" si="5"/>
        <v>0</v>
      </c>
      <c r="DD21" t="s">
        <v>6</v>
      </c>
      <c r="DE21" t="s">
        <v>6</v>
      </c>
      <c r="DF21">
        <f>ROUND(ROUND(AE21,2)*CX21,2)</f>
        <v>0</v>
      </c>
      <c r="DG21">
        <f>ROUND(ROUND(AF21,2)*CX21,2)</f>
        <v>0</v>
      </c>
      <c r="DH21">
        <f>Source!I34*SmtRes!Y21</f>
        <v>131.18559999999999</v>
      </c>
      <c r="DI21">
        <f>AD21</f>
        <v>306.52</v>
      </c>
      <c r="DJ21">
        <f>EtalonRes!AB21</f>
        <v>9.18</v>
      </c>
      <c r="DK21" t="e">
        <f>Source!BA34</f>
        <v>#REF!</v>
      </c>
      <c r="DL21" t="s">
        <v>6</v>
      </c>
      <c r="DM21">
        <v>0</v>
      </c>
      <c r="DN21" t="s">
        <v>6</v>
      </c>
      <c r="DO21">
        <v>0</v>
      </c>
      <c r="GQ21">
        <v>-1</v>
      </c>
      <c r="GR21">
        <v>-1</v>
      </c>
    </row>
    <row r="22" spans="1:200" x14ac:dyDescent="0.2">
      <c r="A22">
        <f>ROW(Source!A34)</f>
        <v>34</v>
      </c>
      <c r="B22">
        <v>67643165</v>
      </c>
      <c r="C22">
        <v>67643286</v>
      </c>
      <c r="D22">
        <v>49510905</v>
      </c>
      <c r="E22">
        <v>70</v>
      </c>
      <c r="F22">
        <v>1</v>
      </c>
      <c r="G22">
        <v>1</v>
      </c>
      <c r="H22">
        <v>1</v>
      </c>
      <c r="I22" t="s">
        <v>341</v>
      </c>
      <c r="J22" t="s">
        <v>6</v>
      </c>
      <c r="K22" t="s">
        <v>342</v>
      </c>
      <c r="L22">
        <v>1191</v>
      </c>
      <c r="N22">
        <v>1013</v>
      </c>
      <c r="O22" t="s">
        <v>340</v>
      </c>
      <c r="P22" t="s">
        <v>340</v>
      </c>
      <c r="Q22">
        <v>1</v>
      </c>
      <c r="W22">
        <v>0</v>
      </c>
      <c r="X22">
        <v>-1417349443</v>
      </c>
      <c r="Y22">
        <f t="shared" si="3"/>
        <v>4.62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33.39</v>
      </c>
      <c r="AL22">
        <v>1</v>
      </c>
      <c r="AM22">
        <v>4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6</v>
      </c>
      <c r="AT22">
        <v>4.62</v>
      </c>
      <c r="AU22" t="s">
        <v>6</v>
      </c>
      <c r="AV22">
        <v>2</v>
      </c>
      <c r="AW22">
        <v>2</v>
      </c>
      <c r="AX22">
        <v>67654334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ROUND(Y22*Source!I34,7)</f>
        <v>20.420400000000001</v>
      </c>
      <c r="CY22">
        <f>AD22</f>
        <v>0</v>
      </c>
      <c r="CZ22">
        <f>AH22</f>
        <v>0</v>
      </c>
      <c r="DA22">
        <f>AL22</f>
        <v>1</v>
      </c>
      <c r="DB22">
        <f t="shared" si="4"/>
        <v>0</v>
      </c>
      <c r="DC22">
        <f t="shared" si="5"/>
        <v>0</v>
      </c>
      <c r="DD22" t="s">
        <v>6</v>
      </c>
      <c r="DE22" t="s">
        <v>6</v>
      </c>
      <c r="DF22">
        <f>ROUND(ROUND(AE22,2)*CX22,2)</f>
        <v>0</v>
      </c>
      <c r="DG22">
        <f>ROUND(ROUND(AF22,2)*CX22,2)</f>
        <v>0</v>
      </c>
      <c r="DH22">
        <f>Source!I34*SmtRes!Y22</f>
        <v>20.420400000000001</v>
      </c>
      <c r="DI22">
        <f>AD22</f>
        <v>0</v>
      </c>
      <c r="DJ22">
        <f>EtalonRes!AB22</f>
        <v>0</v>
      </c>
      <c r="DK22" t="e">
        <f>Source!BA34</f>
        <v>#REF!</v>
      </c>
      <c r="DL22" t="s">
        <v>6</v>
      </c>
      <c r="DM22">
        <v>0</v>
      </c>
      <c r="DN22" t="s">
        <v>6</v>
      </c>
      <c r="DO22">
        <v>0</v>
      </c>
      <c r="GQ22">
        <v>-1</v>
      </c>
      <c r="GR22">
        <v>-1</v>
      </c>
    </row>
    <row r="23" spans="1:200" x14ac:dyDescent="0.2">
      <c r="A23">
        <f>ROW(Source!A34)</f>
        <v>34</v>
      </c>
      <c r="B23">
        <v>67643165</v>
      </c>
      <c r="C23">
        <v>67643286</v>
      </c>
      <c r="D23">
        <v>49672573</v>
      </c>
      <c r="E23">
        <v>1</v>
      </c>
      <c r="F23">
        <v>1</v>
      </c>
      <c r="G23">
        <v>1</v>
      </c>
      <c r="H23">
        <v>2</v>
      </c>
      <c r="I23" t="s">
        <v>361</v>
      </c>
      <c r="J23" t="s">
        <v>362</v>
      </c>
      <c r="K23" t="s">
        <v>363</v>
      </c>
      <c r="L23">
        <v>1367</v>
      </c>
      <c r="N23">
        <v>1011</v>
      </c>
      <c r="O23" t="s">
        <v>346</v>
      </c>
      <c r="P23" t="s">
        <v>346</v>
      </c>
      <c r="Q23">
        <v>1</v>
      </c>
      <c r="W23">
        <v>0</v>
      </c>
      <c r="X23">
        <v>-430484415</v>
      </c>
      <c r="Y23">
        <f t="shared" si="3"/>
        <v>4.41</v>
      </c>
      <c r="AA23">
        <v>0</v>
      </c>
      <c r="AB23">
        <v>1530.2</v>
      </c>
      <c r="AC23">
        <v>450.77</v>
      </c>
      <c r="AD23">
        <v>0</v>
      </c>
      <c r="AE23">
        <v>0</v>
      </c>
      <c r="AF23">
        <v>115.4</v>
      </c>
      <c r="AG23">
        <v>13.5</v>
      </c>
      <c r="AH23">
        <v>0</v>
      </c>
      <c r="AI23">
        <v>1</v>
      </c>
      <c r="AJ23">
        <v>13.26</v>
      </c>
      <c r="AK23">
        <v>33.39</v>
      </c>
      <c r="AL23">
        <v>1</v>
      </c>
      <c r="AM23">
        <v>4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6</v>
      </c>
      <c r="AT23">
        <v>4.41</v>
      </c>
      <c r="AU23" t="s">
        <v>6</v>
      </c>
      <c r="AV23">
        <v>0</v>
      </c>
      <c r="AW23">
        <v>2</v>
      </c>
      <c r="AX23">
        <v>67654335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f>ROUND(Y23*Source!I34*DO23,7)</f>
        <v>0</v>
      </c>
      <c r="CX23">
        <f>ROUND(Y23*Source!I34,7)</f>
        <v>19.4922</v>
      </c>
      <c r="CY23">
        <f>AB23</f>
        <v>1530.2</v>
      </c>
      <c r="CZ23">
        <f>AF23</f>
        <v>115.4</v>
      </c>
      <c r="DA23">
        <f>AJ23</f>
        <v>13.26</v>
      </c>
      <c r="DB23">
        <f t="shared" si="4"/>
        <v>508.91</v>
      </c>
      <c r="DC23">
        <f t="shared" si="5"/>
        <v>59.54</v>
      </c>
      <c r="DD23" t="s">
        <v>6</v>
      </c>
      <c r="DE23" t="s">
        <v>6</v>
      </c>
      <c r="DF23">
        <f>ROUND(ROUND(AE23,2)*CX23,2)</f>
        <v>0</v>
      </c>
      <c r="DG23">
        <f>ROUND(ROUND(AF23*AJ23,2)*CX23,2)</f>
        <v>29826.959999999999</v>
      </c>
      <c r="DH23">
        <f>Source!I34*SmtRes!Y23</f>
        <v>19.4922</v>
      </c>
      <c r="DI23">
        <f>AB23</f>
        <v>1530.2</v>
      </c>
      <c r="DJ23">
        <f>EtalonRes!Z23</f>
        <v>115.4</v>
      </c>
      <c r="DK23" t="e">
        <f>Source!BB34</f>
        <v>#REF!</v>
      </c>
      <c r="DL23" t="s">
        <v>6</v>
      </c>
      <c r="DM23">
        <v>0</v>
      </c>
      <c r="DN23" t="s">
        <v>6</v>
      </c>
      <c r="DO23">
        <v>0</v>
      </c>
      <c r="GQ23">
        <v>-1</v>
      </c>
      <c r="GR23">
        <v>-1</v>
      </c>
    </row>
    <row r="24" spans="1:200" x14ac:dyDescent="0.2">
      <c r="A24">
        <f>ROW(Source!A34)</f>
        <v>34</v>
      </c>
      <c r="B24">
        <v>67643165</v>
      </c>
      <c r="C24">
        <v>67643286</v>
      </c>
      <c r="D24">
        <v>49673503</v>
      </c>
      <c r="E24">
        <v>1</v>
      </c>
      <c r="F24">
        <v>1</v>
      </c>
      <c r="G24">
        <v>1</v>
      </c>
      <c r="H24">
        <v>2</v>
      </c>
      <c r="I24" t="s">
        <v>364</v>
      </c>
      <c r="J24" t="s">
        <v>365</v>
      </c>
      <c r="K24" t="s">
        <v>366</v>
      </c>
      <c r="L24">
        <v>1367</v>
      </c>
      <c r="N24">
        <v>1011</v>
      </c>
      <c r="O24" t="s">
        <v>346</v>
      </c>
      <c r="P24" t="s">
        <v>346</v>
      </c>
      <c r="Q24">
        <v>1</v>
      </c>
      <c r="W24">
        <v>0</v>
      </c>
      <c r="X24">
        <v>509054691</v>
      </c>
      <c r="Y24">
        <f t="shared" si="3"/>
        <v>0.21</v>
      </c>
      <c r="AA24">
        <v>0</v>
      </c>
      <c r="AB24">
        <v>871.31</v>
      </c>
      <c r="AC24">
        <v>387.32</v>
      </c>
      <c r="AD24">
        <v>0</v>
      </c>
      <c r="AE24">
        <v>0</v>
      </c>
      <c r="AF24">
        <v>65.709999999999994</v>
      </c>
      <c r="AG24">
        <v>11.6</v>
      </c>
      <c r="AH24">
        <v>0</v>
      </c>
      <c r="AI24">
        <v>1</v>
      </c>
      <c r="AJ24">
        <v>13.26</v>
      </c>
      <c r="AK24">
        <v>33.39</v>
      </c>
      <c r="AL24">
        <v>1</v>
      </c>
      <c r="AM24">
        <v>4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6</v>
      </c>
      <c r="AT24">
        <v>0.21</v>
      </c>
      <c r="AU24" t="s">
        <v>6</v>
      </c>
      <c r="AV24">
        <v>0</v>
      </c>
      <c r="AW24">
        <v>2</v>
      </c>
      <c r="AX24">
        <v>67654336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f>ROUND(Y24*Source!I34*DO24,7)</f>
        <v>0</v>
      </c>
      <c r="CX24">
        <f>ROUND(Y24*Source!I34,7)</f>
        <v>0.92820000000000003</v>
      </c>
      <c r="CY24">
        <f>AB24</f>
        <v>871.31</v>
      </c>
      <c r="CZ24">
        <f>AF24</f>
        <v>65.709999999999994</v>
      </c>
      <c r="DA24">
        <f>AJ24</f>
        <v>13.26</v>
      </c>
      <c r="DB24">
        <f t="shared" si="4"/>
        <v>13.8</v>
      </c>
      <c r="DC24">
        <f t="shared" si="5"/>
        <v>2.44</v>
      </c>
      <c r="DD24" t="s">
        <v>6</v>
      </c>
      <c r="DE24" t="s">
        <v>6</v>
      </c>
      <c r="DF24">
        <f>ROUND(ROUND(AE24,2)*CX24,2)</f>
        <v>0</v>
      </c>
      <c r="DG24">
        <f>ROUND(ROUND(AF24*AJ24,2)*CX24,2)</f>
        <v>808.75</v>
      </c>
      <c r="DH24">
        <f>Source!I34*SmtRes!Y24</f>
        <v>0.92819999999999991</v>
      </c>
      <c r="DI24">
        <f>AB24</f>
        <v>871.31</v>
      </c>
      <c r="DJ24">
        <f>EtalonRes!Z24</f>
        <v>65.709999999999994</v>
      </c>
      <c r="DK24" t="e">
        <f>Source!BB34</f>
        <v>#REF!</v>
      </c>
      <c r="DL24" t="s">
        <v>6</v>
      </c>
      <c r="DM24">
        <v>0</v>
      </c>
      <c r="DN24" t="s">
        <v>6</v>
      </c>
      <c r="DO24">
        <v>0</v>
      </c>
      <c r="GQ24">
        <v>-1</v>
      </c>
      <c r="GR24">
        <v>-1</v>
      </c>
    </row>
    <row r="25" spans="1:200" x14ac:dyDescent="0.2">
      <c r="A25">
        <f>ROW(Source!A34)</f>
        <v>34</v>
      </c>
      <c r="B25">
        <v>67643165</v>
      </c>
      <c r="C25">
        <v>67643286</v>
      </c>
      <c r="D25">
        <v>49523203</v>
      </c>
      <c r="E25">
        <v>1</v>
      </c>
      <c r="F25">
        <v>1</v>
      </c>
      <c r="G25">
        <v>1</v>
      </c>
      <c r="H25">
        <v>3</v>
      </c>
      <c r="I25" t="s">
        <v>367</v>
      </c>
      <c r="J25" t="s">
        <v>368</v>
      </c>
      <c r="K25" t="s">
        <v>369</v>
      </c>
      <c r="L25">
        <v>1339</v>
      </c>
      <c r="N25">
        <v>1007</v>
      </c>
      <c r="O25" t="s">
        <v>33</v>
      </c>
      <c r="P25" t="s">
        <v>33</v>
      </c>
      <c r="Q25">
        <v>1</v>
      </c>
      <c r="W25">
        <v>0</v>
      </c>
      <c r="X25">
        <v>-143474561</v>
      </c>
      <c r="Y25" s="211">
        <f>'6.Ведомость_списания'!F36</f>
        <v>7.8</v>
      </c>
      <c r="AA25">
        <v>22.23</v>
      </c>
      <c r="AB25">
        <v>0</v>
      </c>
      <c r="AC25">
        <v>0</v>
      </c>
      <c r="AD25">
        <v>0</v>
      </c>
      <c r="AE25">
        <v>2.44</v>
      </c>
      <c r="AF25">
        <v>0</v>
      </c>
      <c r="AG25">
        <v>0</v>
      </c>
      <c r="AH25">
        <v>0</v>
      </c>
      <c r="AI25">
        <v>9.11</v>
      </c>
      <c r="AJ25">
        <v>1</v>
      </c>
      <c r="AK25">
        <v>1</v>
      </c>
      <c r="AL25">
        <v>1</v>
      </c>
      <c r="AM25">
        <v>4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6</v>
      </c>
      <c r="AT25">
        <v>7.8</v>
      </c>
      <c r="AU25" t="s">
        <v>6</v>
      </c>
      <c r="AV25">
        <v>0</v>
      </c>
      <c r="AW25">
        <v>2</v>
      </c>
      <c r="AX25">
        <v>67654337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ROUND(Y25*Source!I34,7)</f>
        <v>34.475999999999999</v>
      </c>
      <c r="CY25">
        <f>AA25</f>
        <v>22.23</v>
      </c>
      <c r="CZ25">
        <f>AE25</f>
        <v>2.44</v>
      </c>
      <c r="DA25">
        <f>AI25</f>
        <v>9.11</v>
      </c>
      <c r="DB25">
        <f t="shared" si="4"/>
        <v>19.03</v>
      </c>
      <c r="DC25">
        <f t="shared" si="5"/>
        <v>0</v>
      </c>
      <c r="DD25" t="s">
        <v>6</v>
      </c>
      <c r="DE25" t="s">
        <v>6</v>
      </c>
      <c r="DF25">
        <f>ROUND(ROUND(AE25*AI25,2)*CX25,2)</f>
        <v>766.4</v>
      </c>
      <c r="DG25">
        <f>ROUND(ROUND(AF25,2)*CX25,2)</f>
        <v>0</v>
      </c>
      <c r="DH25">
        <f>Source!I34*SmtRes!Y25</f>
        <v>34.475999999999999</v>
      </c>
      <c r="DI25">
        <f>AA25</f>
        <v>22.23</v>
      </c>
      <c r="DJ25">
        <f>EtalonRes!Y25</f>
        <v>2.44</v>
      </c>
      <c r="DK25" t="e">
        <f>Source!BC34</f>
        <v>#REF!</v>
      </c>
      <c r="DL25" t="s">
        <v>6</v>
      </c>
      <c r="DM25">
        <v>0</v>
      </c>
      <c r="DN25" t="s">
        <v>6</v>
      </c>
      <c r="DO25">
        <v>0</v>
      </c>
      <c r="GQ25">
        <v>-1</v>
      </c>
      <c r="GR25">
        <v>-1</v>
      </c>
    </row>
    <row r="26" spans="1:200" x14ac:dyDescent="0.2">
      <c r="A26">
        <f>ROW(Source!A34)</f>
        <v>34</v>
      </c>
      <c r="B26">
        <v>67643165</v>
      </c>
      <c r="C26">
        <v>67643286</v>
      </c>
      <c r="D26">
        <v>0</v>
      </c>
      <c r="E26">
        <v>0</v>
      </c>
      <c r="F26">
        <v>1</v>
      </c>
      <c r="G26">
        <v>1</v>
      </c>
      <c r="H26">
        <v>3</v>
      </c>
      <c r="I26" t="s">
        <v>84</v>
      </c>
      <c r="J26" t="s">
        <v>6</v>
      </c>
      <c r="K26" t="s">
        <v>85</v>
      </c>
      <c r="L26">
        <v>1301</v>
      </c>
      <c r="N26">
        <v>1003</v>
      </c>
      <c r="O26" t="s">
        <v>86</v>
      </c>
      <c r="P26" t="s">
        <v>86</v>
      </c>
      <c r="Q26">
        <v>1</v>
      </c>
      <c r="W26">
        <v>0</v>
      </c>
      <c r="X26">
        <v>1267570958</v>
      </c>
      <c r="Y26">
        <f t="shared" si="3"/>
        <v>100</v>
      </c>
      <c r="AA26">
        <v>1306.25</v>
      </c>
      <c r="AB26">
        <v>0</v>
      </c>
      <c r="AC26">
        <v>0</v>
      </c>
      <c r="AD26">
        <v>0</v>
      </c>
      <c r="AE26">
        <v>1332.38</v>
      </c>
      <c r="AF26">
        <v>0</v>
      </c>
      <c r="AG26">
        <v>0</v>
      </c>
      <c r="AH26">
        <v>0</v>
      </c>
      <c r="AI26">
        <v>9.11</v>
      </c>
      <c r="AJ26">
        <v>1</v>
      </c>
      <c r="AK26">
        <v>1</v>
      </c>
      <c r="AL26">
        <v>1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6</v>
      </c>
      <c r="AT26">
        <v>100</v>
      </c>
      <c r="AU26" t="s">
        <v>6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ROUND(Y26*Source!I34,7)</f>
        <v>442</v>
      </c>
      <c r="CY26">
        <f>AA26</f>
        <v>1306.25</v>
      </c>
      <c r="CZ26">
        <f>AE26</f>
        <v>1332.38</v>
      </c>
      <c r="DA26">
        <f>AI26</f>
        <v>9.11</v>
      </c>
      <c r="DB26">
        <f t="shared" si="4"/>
        <v>133238</v>
      </c>
      <c r="DC26">
        <f t="shared" si="5"/>
        <v>0</v>
      </c>
      <c r="DD26" t="s">
        <v>6</v>
      </c>
      <c r="DE26" t="s">
        <v>6</v>
      </c>
      <c r="DF26">
        <f>ROUND(ROUND(AE26*AI26,2)*CX26,2)</f>
        <v>5364987.16</v>
      </c>
      <c r="DG26">
        <f>ROUND(ROUND(AF26,2)*CX26,2)</f>
        <v>0</v>
      </c>
      <c r="DH26">
        <f>Source!I34*SmtRes!Y26</f>
        <v>442</v>
      </c>
      <c r="DI26">
        <f>AA26</f>
        <v>1306.25</v>
      </c>
      <c r="DJ26">
        <f>DF26</f>
        <v>5364987.16</v>
      </c>
      <c r="DK26" t="e">
        <f>Source!BC34</f>
        <v>#REF!</v>
      </c>
      <c r="DL26" t="s">
        <v>6</v>
      </c>
      <c r="DM26">
        <v>0</v>
      </c>
      <c r="DN26" t="s">
        <v>6</v>
      </c>
      <c r="DO26">
        <v>0</v>
      </c>
      <c r="GP26">
        <v>1</v>
      </c>
      <c r="GQ26">
        <v>-1</v>
      </c>
      <c r="GR26">
        <v>-1</v>
      </c>
    </row>
    <row r="27" spans="1:200" x14ac:dyDescent="0.2">
      <c r="A27">
        <f>ROW(Source!A36)</f>
        <v>36</v>
      </c>
      <c r="B27">
        <v>67643165</v>
      </c>
      <c r="C27">
        <v>67656944</v>
      </c>
      <c r="D27">
        <v>49510731</v>
      </c>
      <c r="E27">
        <v>70</v>
      </c>
      <c r="F27">
        <v>1</v>
      </c>
      <c r="G27">
        <v>1</v>
      </c>
      <c r="H27">
        <v>1</v>
      </c>
      <c r="I27" t="s">
        <v>370</v>
      </c>
      <c r="J27" t="s">
        <v>6</v>
      </c>
      <c r="K27" t="s">
        <v>371</v>
      </c>
      <c r="L27">
        <v>1191</v>
      </c>
      <c r="N27">
        <v>1013</v>
      </c>
      <c r="O27" t="s">
        <v>340</v>
      </c>
      <c r="P27" t="s">
        <v>340</v>
      </c>
      <c r="Q27">
        <v>1</v>
      </c>
      <c r="W27">
        <v>0</v>
      </c>
      <c r="X27">
        <v>1893946532</v>
      </c>
      <c r="Y27">
        <f t="shared" si="3"/>
        <v>158.68</v>
      </c>
      <c r="AA27">
        <v>0</v>
      </c>
      <c r="AB27">
        <v>0</v>
      </c>
      <c r="AC27">
        <v>0</v>
      </c>
      <c r="AD27">
        <v>302.85000000000002</v>
      </c>
      <c r="AE27">
        <v>0</v>
      </c>
      <c r="AF27">
        <v>0</v>
      </c>
      <c r="AG27">
        <v>0</v>
      </c>
      <c r="AH27">
        <v>9.07</v>
      </c>
      <c r="AI27">
        <v>1</v>
      </c>
      <c r="AJ27">
        <v>1</v>
      </c>
      <c r="AK27">
        <v>1</v>
      </c>
      <c r="AL27">
        <v>33.39</v>
      </c>
      <c r="AM27">
        <v>4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6</v>
      </c>
      <c r="AT27">
        <v>158.68</v>
      </c>
      <c r="AU27" t="s">
        <v>6</v>
      </c>
      <c r="AV27">
        <v>1</v>
      </c>
      <c r="AW27">
        <v>2</v>
      </c>
      <c r="AX27">
        <v>67656998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U27">
        <f>ROUND(AT27*Source!I36*AH27*AL27,2)</f>
        <v>93708.83</v>
      </c>
      <c r="CV27">
        <f>ROUND(Y27*Source!I36,7)</f>
        <v>309.42599999999999</v>
      </c>
      <c r="CW27">
        <v>0</v>
      </c>
      <c r="CX27">
        <f>ROUND(Y27*Source!I36,7)</f>
        <v>309.42599999999999</v>
      </c>
      <c r="CY27">
        <f>AD27</f>
        <v>302.85000000000002</v>
      </c>
      <c r="CZ27">
        <f>AH27</f>
        <v>9.07</v>
      </c>
      <c r="DA27">
        <f>AL27</f>
        <v>33.39</v>
      </c>
      <c r="DB27">
        <f t="shared" si="4"/>
        <v>1439.23</v>
      </c>
      <c r="DC27">
        <f t="shared" si="5"/>
        <v>0</v>
      </c>
      <c r="DD27" t="s">
        <v>6</v>
      </c>
      <c r="DE27" t="s">
        <v>6</v>
      </c>
      <c r="DF27">
        <f>ROUND(ROUND(AE27,2)*CX27,2)</f>
        <v>0</v>
      </c>
      <c r="DG27">
        <f>ROUND(ROUND(AF27,2)*CX27,2)</f>
        <v>0</v>
      </c>
      <c r="DH27">
        <f>Source!I36*SmtRes!Y27</f>
        <v>309.42599999999999</v>
      </c>
      <c r="DI27">
        <f>AD27</f>
        <v>302.85000000000002</v>
      </c>
      <c r="DJ27">
        <f>EtalonRes!AB27</f>
        <v>9.07</v>
      </c>
      <c r="DK27" t="e">
        <f>Source!BA36</f>
        <v>#REF!</v>
      </c>
      <c r="DL27" t="s">
        <v>6</v>
      </c>
      <c r="DM27">
        <v>0</v>
      </c>
      <c r="DN27" t="s">
        <v>6</v>
      </c>
      <c r="DO27">
        <v>0</v>
      </c>
      <c r="GQ27">
        <v>-1</v>
      </c>
      <c r="GR27">
        <v>-1</v>
      </c>
    </row>
    <row r="28" spans="1:200" x14ac:dyDescent="0.2">
      <c r="A28">
        <f>ROW(Source!A36)</f>
        <v>36</v>
      </c>
      <c r="B28">
        <v>67643165</v>
      </c>
      <c r="C28">
        <v>67656944</v>
      </c>
      <c r="D28">
        <v>49510905</v>
      </c>
      <c r="E28">
        <v>70</v>
      </c>
      <c r="F28">
        <v>1</v>
      </c>
      <c r="G28">
        <v>1</v>
      </c>
      <c r="H28">
        <v>1</v>
      </c>
      <c r="I28" t="s">
        <v>341</v>
      </c>
      <c r="J28" t="s">
        <v>6</v>
      </c>
      <c r="K28" t="s">
        <v>342</v>
      </c>
      <c r="L28">
        <v>1191</v>
      </c>
      <c r="N28">
        <v>1013</v>
      </c>
      <c r="O28" t="s">
        <v>340</v>
      </c>
      <c r="P28" t="s">
        <v>340</v>
      </c>
      <c r="Q28">
        <v>1</v>
      </c>
      <c r="W28">
        <v>0</v>
      </c>
      <c r="X28">
        <v>-1417349443</v>
      </c>
      <c r="Y28">
        <f t="shared" si="3"/>
        <v>22.39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33.39</v>
      </c>
      <c r="AL28">
        <v>1</v>
      </c>
      <c r="AM28">
        <v>4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6</v>
      </c>
      <c r="AT28">
        <v>22.39</v>
      </c>
      <c r="AU28" t="s">
        <v>6</v>
      </c>
      <c r="AV28">
        <v>2</v>
      </c>
      <c r="AW28">
        <v>2</v>
      </c>
      <c r="AX28">
        <v>67656999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ROUND(Y28*Source!I36,7)</f>
        <v>43.660499999999999</v>
      </c>
      <c r="CY28">
        <f>AD28</f>
        <v>0</v>
      </c>
      <c r="CZ28">
        <f>AH28</f>
        <v>0</v>
      </c>
      <c r="DA28">
        <f>AL28</f>
        <v>1</v>
      </c>
      <c r="DB28">
        <f t="shared" si="4"/>
        <v>0</v>
      </c>
      <c r="DC28">
        <f t="shared" si="5"/>
        <v>0</v>
      </c>
      <c r="DD28" t="s">
        <v>6</v>
      </c>
      <c r="DE28" t="s">
        <v>6</v>
      </c>
      <c r="DF28">
        <f>ROUND(ROUND(AE28,2)*CX28,2)</f>
        <v>0</v>
      </c>
      <c r="DG28">
        <f>ROUND(ROUND(AF28,2)*CX28,2)</f>
        <v>0</v>
      </c>
      <c r="DH28">
        <f>Source!I36*SmtRes!Y28</f>
        <v>43.660499999999999</v>
      </c>
      <c r="DI28">
        <f>AD28</f>
        <v>0</v>
      </c>
      <c r="DJ28">
        <f>EtalonRes!AB28</f>
        <v>0</v>
      </c>
      <c r="DK28" t="e">
        <f>Source!BA36</f>
        <v>#REF!</v>
      </c>
      <c r="DL28" t="s">
        <v>6</v>
      </c>
      <c r="DM28">
        <v>0</v>
      </c>
      <c r="DN28" t="s">
        <v>6</v>
      </c>
      <c r="DO28">
        <v>0</v>
      </c>
      <c r="GQ28">
        <v>-1</v>
      </c>
      <c r="GR28">
        <v>-1</v>
      </c>
    </row>
    <row r="29" spans="1:200" x14ac:dyDescent="0.2">
      <c r="A29">
        <f>ROW(Source!A36)</f>
        <v>36</v>
      </c>
      <c r="B29">
        <v>67643165</v>
      </c>
      <c r="C29">
        <v>67656944</v>
      </c>
      <c r="D29">
        <v>49672573</v>
      </c>
      <c r="E29">
        <v>1</v>
      </c>
      <c r="F29">
        <v>1</v>
      </c>
      <c r="G29">
        <v>1</v>
      </c>
      <c r="H29">
        <v>2</v>
      </c>
      <c r="I29" t="s">
        <v>361</v>
      </c>
      <c r="J29" t="s">
        <v>362</v>
      </c>
      <c r="K29" t="s">
        <v>363</v>
      </c>
      <c r="L29">
        <v>1367</v>
      </c>
      <c r="N29">
        <v>1011</v>
      </c>
      <c r="O29" t="s">
        <v>346</v>
      </c>
      <c r="P29" t="s">
        <v>346</v>
      </c>
      <c r="Q29">
        <v>1</v>
      </c>
      <c r="W29">
        <v>0</v>
      </c>
      <c r="X29">
        <v>-430484415</v>
      </c>
      <c r="Y29">
        <f t="shared" si="3"/>
        <v>17.989999999999998</v>
      </c>
      <c r="AA29">
        <v>0</v>
      </c>
      <c r="AB29">
        <v>1530.2</v>
      </c>
      <c r="AC29">
        <v>450.77</v>
      </c>
      <c r="AD29">
        <v>0</v>
      </c>
      <c r="AE29">
        <v>0</v>
      </c>
      <c r="AF29">
        <v>115.4</v>
      </c>
      <c r="AG29">
        <v>13.5</v>
      </c>
      <c r="AH29">
        <v>0</v>
      </c>
      <c r="AI29">
        <v>1</v>
      </c>
      <c r="AJ29">
        <v>13.26</v>
      </c>
      <c r="AK29">
        <v>33.39</v>
      </c>
      <c r="AL29">
        <v>1</v>
      </c>
      <c r="AM29">
        <v>4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6</v>
      </c>
      <c r="AT29">
        <v>17.989999999999998</v>
      </c>
      <c r="AU29" t="s">
        <v>6</v>
      </c>
      <c r="AV29">
        <v>0</v>
      </c>
      <c r="AW29">
        <v>2</v>
      </c>
      <c r="AX29">
        <v>67657000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f>ROUND(Y29*Source!I36*DO29,7)</f>
        <v>0</v>
      </c>
      <c r="CX29">
        <f>ROUND(Y29*Source!I36,7)</f>
        <v>35.080500000000001</v>
      </c>
      <c r="CY29">
        <f>AB29</f>
        <v>1530.2</v>
      </c>
      <c r="CZ29">
        <f>AF29</f>
        <v>115.4</v>
      </c>
      <c r="DA29">
        <f>AJ29</f>
        <v>13.26</v>
      </c>
      <c r="DB29">
        <f t="shared" si="4"/>
        <v>2076.0500000000002</v>
      </c>
      <c r="DC29">
        <f t="shared" si="5"/>
        <v>242.87</v>
      </c>
      <c r="DD29" t="s">
        <v>6</v>
      </c>
      <c r="DE29" t="s">
        <v>6</v>
      </c>
      <c r="DF29">
        <f>ROUND(ROUND(AE29,2)*CX29,2)</f>
        <v>0</v>
      </c>
      <c r="DG29">
        <f>ROUND(ROUND(AF29*AJ29,2)*CX29,2)</f>
        <v>53680.18</v>
      </c>
      <c r="DH29">
        <f>Source!I36*SmtRes!Y29</f>
        <v>35.080499999999994</v>
      </c>
      <c r="DI29">
        <f>AB29</f>
        <v>1530.2</v>
      </c>
      <c r="DJ29">
        <f>EtalonRes!Z29</f>
        <v>115.4</v>
      </c>
      <c r="DK29" t="e">
        <f>Source!BB36</f>
        <v>#REF!</v>
      </c>
      <c r="DL29" t="s">
        <v>6</v>
      </c>
      <c r="DM29">
        <v>0</v>
      </c>
      <c r="DN29" t="s">
        <v>6</v>
      </c>
      <c r="DO29">
        <v>0</v>
      </c>
      <c r="GQ29">
        <v>-1</v>
      </c>
      <c r="GR29">
        <v>-1</v>
      </c>
    </row>
    <row r="30" spans="1:200" x14ac:dyDescent="0.2">
      <c r="A30">
        <f>ROW(Source!A36)</f>
        <v>36</v>
      </c>
      <c r="B30">
        <v>67643165</v>
      </c>
      <c r="C30">
        <v>67656944</v>
      </c>
      <c r="D30">
        <v>49672974</v>
      </c>
      <c r="E30">
        <v>1</v>
      </c>
      <c r="F30">
        <v>1</v>
      </c>
      <c r="G30">
        <v>1</v>
      </c>
      <c r="H30">
        <v>2</v>
      </c>
      <c r="I30" t="s">
        <v>372</v>
      </c>
      <c r="J30" t="s">
        <v>373</v>
      </c>
      <c r="K30" t="s">
        <v>374</v>
      </c>
      <c r="L30">
        <v>1367</v>
      </c>
      <c r="N30">
        <v>1011</v>
      </c>
      <c r="O30" t="s">
        <v>346</v>
      </c>
      <c r="P30" t="s">
        <v>346</v>
      </c>
      <c r="Q30">
        <v>1</v>
      </c>
      <c r="W30">
        <v>0</v>
      </c>
      <c r="X30">
        <v>-1193409272</v>
      </c>
      <c r="Y30">
        <f t="shared" si="3"/>
        <v>0.76</v>
      </c>
      <c r="AA30">
        <v>0</v>
      </c>
      <c r="AB30">
        <v>397.8</v>
      </c>
      <c r="AC30">
        <v>0</v>
      </c>
      <c r="AD30">
        <v>0</v>
      </c>
      <c r="AE30">
        <v>0</v>
      </c>
      <c r="AF30">
        <v>30</v>
      </c>
      <c r="AG30">
        <v>0</v>
      </c>
      <c r="AH30">
        <v>0</v>
      </c>
      <c r="AI30">
        <v>1</v>
      </c>
      <c r="AJ30">
        <v>13.26</v>
      </c>
      <c r="AK30">
        <v>33.39</v>
      </c>
      <c r="AL30">
        <v>1</v>
      </c>
      <c r="AM30">
        <v>4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6</v>
      </c>
      <c r="AT30">
        <v>0.76</v>
      </c>
      <c r="AU30" t="s">
        <v>6</v>
      </c>
      <c r="AV30">
        <v>0</v>
      </c>
      <c r="AW30">
        <v>2</v>
      </c>
      <c r="AX30">
        <v>67657001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f>ROUND(Y30*Source!I36*DO30,7)</f>
        <v>0</v>
      </c>
      <c r="CX30">
        <f>ROUND(Y30*Source!I36,7)</f>
        <v>1.482</v>
      </c>
      <c r="CY30">
        <f>AB30</f>
        <v>397.8</v>
      </c>
      <c r="CZ30">
        <f>AF30</f>
        <v>30</v>
      </c>
      <c r="DA30">
        <f>AJ30</f>
        <v>13.26</v>
      </c>
      <c r="DB30">
        <f t="shared" si="4"/>
        <v>22.8</v>
      </c>
      <c r="DC30">
        <f t="shared" si="5"/>
        <v>0</v>
      </c>
      <c r="DD30" t="s">
        <v>6</v>
      </c>
      <c r="DE30" t="s">
        <v>6</v>
      </c>
      <c r="DF30">
        <f>ROUND(ROUND(AE30,2)*CX30,2)</f>
        <v>0</v>
      </c>
      <c r="DG30">
        <f>ROUND(ROUND(AF30*AJ30,2)*CX30,2)</f>
        <v>589.54</v>
      </c>
      <c r="DH30">
        <f>Source!I36*SmtRes!Y30</f>
        <v>1.482</v>
      </c>
      <c r="DI30">
        <f>AB30</f>
        <v>397.8</v>
      </c>
      <c r="DJ30">
        <f>EtalonRes!Z30</f>
        <v>30</v>
      </c>
      <c r="DK30" t="e">
        <f>Source!BB36</f>
        <v>#REF!</v>
      </c>
      <c r="DL30" t="s">
        <v>6</v>
      </c>
      <c r="DM30">
        <v>0</v>
      </c>
      <c r="DN30" t="s">
        <v>6</v>
      </c>
      <c r="DO30">
        <v>0</v>
      </c>
      <c r="GQ30">
        <v>-1</v>
      </c>
      <c r="GR30">
        <v>-1</v>
      </c>
    </row>
    <row r="31" spans="1:200" x14ac:dyDescent="0.2">
      <c r="A31">
        <f>ROW(Source!A36)</f>
        <v>36</v>
      </c>
      <c r="B31">
        <v>67643165</v>
      </c>
      <c r="C31">
        <v>67656944</v>
      </c>
      <c r="D31">
        <v>49673503</v>
      </c>
      <c r="E31">
        <v>1</v>
      </c>
      <c r="F31">
        <v>1</v>
      </c>
      <c r="G31">
        <v>1</v>
      </c>
      <c r="H31">
        <v>2</v>
      </c>
      <c r="I31" t="s">
        <v>364</v>
      </c>
      <c r="J31" t="s">
        <v>365</v>
      </c>
      <c r="K31" t="s">
        <v>366</v>
      </c>
      <c r="L31">
        <v>1367</v>
      </c>
      <c r="N31">
        <v>1011</v>
      </c>
      <c r="O31" t="s">
        <v>346</v>
      </c>
      <c r="P31" t="s">
        <v>346</v>
      </c>
      <c r="Q31">
        <v>1</v>
      </c>
      <c r="W31">
        <v>0</v>
      </c>
      <c r="X31">
        <v>509054691</v>
      </c>
      <c r="Y31">
        <f t="shared" si="3"/>
        <v>4.4000000000000004</v>
      </c>
      <c r="AA31">
        <v>0</v>
      </c>
      <c r="AB31">
        <v>871.31</v>
      </c>
      <c r="AC31">
        <v>387.32</v>
      </c>
      <c r="AD31">
        <v>0</v>
      </c>
      <c r="AE31">
        <v>0</v>
      </c>
      <c r="AF31">
        <v>65.709999999999994</v>
      </c>
      <c r="AG31">
        <v>11.6</v>
      </c>
      <c r="AH31">
        <v>0</v>
      </c>
      <c r="AI31">
        <v>1</v>
      </c>
      <c r="AJ31">
        <v>13.26</v>
      </c>
      <c r="AK31">
        <v>33.39</v>
      </c>
      <c r="AL31">
        <v>1</v>
      </c>
      <c r="AM31">
        <v>4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6</v>
      </c>
      <c r="AT31">
        <v>4.4000000000000004</v>
      </c>
      <c r="AU31" t="s">
        <v>6</v>
      </c>
      <c r="AV31">
        <v>0</v>
      </c>
      <c r="AW31">
        <v>2</v>
      </c>
      <c r="AX31">
        <v>67657002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f>ROUND(Y31*Source!I36*DO31,7)</f>
        <v>0</v>
      </c>
      <c r="CX31">
        <f>ROUND(Y31*Source!I36,7)</f>
        <v>8.58</v>
      </c>
      <c r="CY31">
        <f>AB31</f>
        <v>871.31</v>
      </c>
      <c r="CZ31">
        <f>AF31</f>
        <v>65.709999999999994</v>
      </c>
      <c r="DA31">
        <f>AJ31</f>
        <v>13.26</v>
      </c>
      <c r="DB31">
        <f t="shared" si="4"/>
        <v>289.12</v>
      </c>
      <c r="DC31">
        <f t="shared" si="5"/>
        <v>51.04</v>
      </c>
      <c r="DD31" t="s">
        <v>6</v>
      </c>
      <c r="DE31" t="s">
        <v>6</v>
      </c>
      <c r="DF31">
        <f>ROUND(ROUND(AE31,2)*CX31,2)</f>
        <v>0</v>
      </c>
      <c r="DG31">
        <f>ROUND(ROUND(AF31*AJ31,2)*CX31,2)</f>
        <v>7475.84</v>
      </c>
      <c r="DH31">
        <f>Source!I36*SmtRes!Y31</f>
        <v>8.58</v>
      </c>
      <c r="DI31">
        <f>AB31</f>
        <v>871.31</v>
      </c>
      <c r="DJ31">
        <f>EtalonRes!Z31</f>
        <v>65.709999999999994</v>
      </c>
      <c r="DK31" t="e">
        <f>Source!BB36</f>
        <v>#REF!</v>
      </c>
      <c r="DL31" t="s">
        <v>6</v>
      </c>
      <c r="DM31">
        <v>0</v>
      </c>
      <c r="DN31" t="s">
        <v>6</v>
      </c>
      <c r="DO31">
        <v>0</v>
      </c>
      <c r="GQ31">
        <v>-1</v>
      </c>
      <c r="GR31">
        <v>-1</v>
      </c>
    </row>
    <row r="32" spans="1:200" x14ac:dyDescent="0.2">
      <c r="A32">
        <f>ROW(Source!A36)</f>
        <v>36</v>
      </c>
      <c r="B32">
        <v>67643165</v>
      </c>
      <c r="C32">
        <v>67656944</v>
      </c>
      <c r="D32">
        <v>49521319</v>
      </c>
      <c r="E32">
        <v>1</v>
      </c>
      <c r="F32">
        <v>1</v>
      </c>
      <c r="G32">
        <v>1</v>
      </c>
      <c r="H32">
        <v>3</v>
      </c>
      <c r="I32" t="s">
        <v>375</v>
      </c>
      <c r="J32" t="s">
        <v>376</v>
      </c>
      <c r="K32" t="s">
        <v>377</v>
      </c>
      <c r="L32">
        <v>1348</v>
      </c>
      <c r="N32">
        <v>1009</v>
      </c>
      <c r="O32" t="s">
        <v>129</v>
      </c>
      <c r="P32" t="s">
        <v>129</v>
      </c>
      <c r="Q32">
        <v>1000</v>
      </c>
      <c r="W32">
        <v>0</v>
      </c>
      <c r="X32">
        <v>1182438716</v>
      </c>
      <c r="Y32" s="211">
        <f>'6.Ведомость_списания'!F39</f>
        <v>0.1</v>
      </c>
      <c r="AA32">
        <v>12600.04</v>
      </c>
      <c r="AB32">
        <v>0</v>
      </c>
      <c r="AC32">
        <v>0</v>
      </c>
      <c r="AD32">
        <v>0</v>
      </c>
      <c r="AE32">
        <v>1383.1</v>
      </c>
      <c r="AF32">
        <v>0</v>
      </c>
      <c r="AG32">
        <v>0</v>
      </c>
      <c r="AH32">
        <v>0</v>
      </c>
      <c r="AI32">
        <v>9.11</v>
      </c>
      <c r="AJ32">
        <v>1</v>
      </c>
      <c r="AK32">
        <v>1</v>
      </c>
      <c r="AL32">
        <v>1</v>
      </c>
      <c r="AM32">
        <v>4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6</v>
      </c>
      <c r="AT32">
        <v>0.1</v>
      </c>
      <c r="AU32" t="s">
        <v>6</v>
      </c>
      <c r="AV32">
        <v>0</v>
      </c>
      <c r="AW32">
        <v>2</v>
      </c>
      <c r="AX32">
        <v>67657003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ROUND(Y32*Source!I36,7)</f>
        <v>0.19500000000000001</v>
      </c>
      <c r="CY32">
        <f t="shared" ref="CY32:CY50" si="6">AA32</f>
        <v>12600.04</v>
      </c>
      <c r="CZ32">
        <f t="shared" ref="CZ32:CZ50" si="7">AE32</f>
        <v>1383.1</v>
      </c>
      <c r="DA32">
        <f t="shared" ref="DA32:DA50" si="8">AI32</f>
        <v>9.11</v>
      </c>
      <c r="DB32">
        <f t="shared" si="4"/>
        <v>138.31</v>
      </c>
      <c r="DC32">
        <f t="shared" si="5"/>
        <v>0</v>
      </c>
      <c r="DD32" t="s">
        <v>6</v>
      </c>
      <c r="DE32" t="s">
        <v>6</v>
      </c>
      <c r="DF32">
        <f t="shared" ref="DF32:DF50" si="9">ROUND(ROUND(AE32*AI32,2)*CX32,2)</f>
        <v>2457.0100000000002</v>
      </c>
      <c r="DG32">
        <f t="shared" ref="DG32:DG52" si="10">ROUND(ROUND(AF32,2)*CX32,2)</f>
        <v>0</v>
      </c>
      <c r="DH32">
        <f>Source!I36*SmtRes!Y32</f>
        <v>0.19500000000000001</v>
      </c>
      <c r="DI32">
        <f t="shared" ref="DI32:DI50" si="11">AA32</f>
        <v>12600.04</v>
      </c>
      <c r="DJ32">
        <f>EtalonRes!Y32</f>
        <v>1383.1</v>
      </c>
      <c r="DK32" t="e">
        <f>Source!BC36</f>
        <v>#REF!</v>
      </c>
      <c r="DL32" t="s">
        <v>6</v>
      </c>
      <c r="DM32">
        <v>0</v>
      </c>
      <c r="DN32" t="s">
        <v>6</v>
      </c>
      <c r="DO32">
        <v>0</v>
      </c>
      <c r="GQ32">
        <v>-1</v>
      </c>
      <c r="GR32">
        <v>-1</v>
      </c>
    </row>
    <row r="33" spans="1:200" x14ac:dyDescent="0.2">
      <c r="A33">
        <f>ROW(Source!A36)</f>
        <v>36</v>
      </c>
      <c r="B33">
        <v>67643165</v>
      </c>
      <c r="C33">
        <v>67656944</v>
      </c>
      <c r="D33">
        <v>49521570</v>
      </c>
      <c r="E33">
        <v>1</v>
      </c>
      <c r="F33">
        <v>1</v>
      </c>
      <c r="G33">
        <v>1</v>
      </c>
      <c r="H33">
        <v>3</v>
      </c>
      <c r="I33" t="s">
        <v>378</v>
      </c>
      <c r="J33" t="s">
        <v>379</v>
      </c>
      <c r="K33" t="s">
        <v>380</v>
      </c>
      <c r="L33">
        <v>1348</v>
      </c>
      <c r="N33">
        <v>1009</v>
      </c>
      <c r="O33" t="s">
        <v>129</v>
      </c>
      <c r="P33" t="s">
        <v>129</v>
      </c>
      <c r="Q33">
        <v>1000</v>
      </c>
      <c r="W33">
        <v>0</v>
      </c>
      <c r="X33">
        <v>1557593705</v>
      </c>
      <c r="Y33" s="211">
        <f>'6.Ведомость_списания'!F40</f>
        <v>1.7999999999999999E-2</v>
      </c>
      <c r="AA33">
        <v>36819.89</v>
      </c>
      <c r="AB33">
        <v>0</v>
      </c>
      <c r="AC33">
        <v>0</v>
      </c>
      <c r="AD33">
        <v>0</v>
      </c>
      <c r="AE33">
        <v>4041.7</v>
      </c>
      <c r="AF33">
        <v>0</v>
      </c>
      <c r="AG33">
        <v>0</v>
      </c>
      <c r="AH33">
        <v>0</v>
      </c>
      <c r="AI33">
        <v>9.11</v>
      </c>
      <c r="AJ33">
        <v>1</v>
      </c>
      <c r="AK33">
        <v>1</v>
      </c>
      <c r="AL33">
        <v>1</v>
      </c>
      <c r="AM33">
        <v>4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6</v>
      </c>
      <c r="AT33">
        <v>1.7999999999999999E-2</v>
      </c>
      <c r="AU33" t="s">
        <v>6</v>
      </c>
      <c r="AV33">
        <v>0</v>
      </c>
      <c r="AW33">
        <v>2</v>
      </c>
      <c r="AX33">
        <v>67657004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ROUND(Y33*Source!I36,7)</f>
        <v>3.5099999999999999E-2</v>
      </c>
      <c r="CY33">
        <f t="shared" si="6"/>
        <v>36819.89</v>
      </c>
      <c r="CZ33">
        <f t="shared" si="7"/>
        <v>4041.7</v>
      </c>
      <c r="DA33">
        <f t="shared" si="8"/>
        <v>9.11</v>
      </c>
      <c r="DB33">
        <f t="shared" si="4"/>
        <v>72.75</v>
      </c>
      <c r="DC33">
        <f t="shared" si="5"/>
        <v>0</v>
      </c>
      <c r="DD33" t="s">
        <v>6</v>
      </c>
      <c r="DE33" t="s">
        <v>6</v>
      </c>
      <c r="DF33">
        <f t="shared" si="9"/>
        <v>1292.3800000000001</v>
      </c>
      <c r="DG33">
        <f t="shared" si="10"/>
        <v>0</v>
      </c>
      <c r="DH33">
        <f>Source!I36*SmtRes!Y33</f>
        <v>3.5099999999999999E-2</v>
      </c>
      <c r="DI33">
        <f t="shared" si="11"/>
        <v>36819.89</v>
      </c>
      <c r="DJ33">
        <f>EtalonRes!Y33</f>
        <v>4041.7</v>
      </c>
      <c r="DK33" t="e">
        <f>Source!BC36</f>
        <v>#REF!</v>
      </c>
      <c r="DL33" t="s">
        <v>6</v>
      </c>
      <c r="DM33">
        <v>0</v>
      </c>
      <c r="DN33" t="s">
        <v>6</v>
      </c>
      <c r="DO33">
        <v>0</v>
      </c>
      <c r="GQ33">
        <v>-1</v>
      </c>
      <c r="GR33">
        <v>-1</v>
      </c>
    </row>
    <row r="34" spans="1:200" x14ac:dyDescent="0.2">
      <c r="A34">
        <f>ROW(Source!A36)</f>
        <v>36</v>
      </c>
      <c r="B34">
        <v>67643165</v>
      </c>
      <c r="C34">
        <v>67656944</v>
      </c>
      <c r="D34">
        <v>49523843</v>
      </c>
      <c r="E34">
        <v>1</v>
      </c>
      <c r="F34">
        <v>1</v>
      </c>
      <c r="G34">
        <v>1</v>
      </c>
      <c r="H34">
        <v>3</v>
      </c>
      <c r="I34" t="s">
        <v>381</v>
      </c>
      <c r="J34" t="s">
        <v>382</v>
      </c>
      <c r="K34" t="s">
        <v>383</v>
      </c>
      <c r="L34">
        <v>1348</v>
      </c>
      <c r="N34">
        <v>1009</v>
      </c>
      <c r="O34" t="s">
        <v>129</v>
      </c>
      <c r="P34" t="s">
        <v>129</v>
      </c>
      <c r="Q34">
        <v>1000</v>
      </c>
      <c r="W34">
        <v>0</v>
      </c>
      <c r="X34">
        <v>1511150967</v>
      </c>
      <c r="Y34" s="211">
        <f>'6.Ведомость_списания'!F41</f>
        <v>7.1999999999999995E-2</v>
      </c>
      <c r="AA34">
        <v>273573.3</v>
      </c>
      <c r="AB34">
        <v>0</v>
      </c>
      <c r="AC34">
        <v>0</v>
      </c>
      <c r="AD34">
        <v>0</v>
      </c>
      <c r="AE34">
        <v>30030</v>
      </c>
      <c r="AF34">
        <v>0</v>
      </c>
      <c r="AG34">
        <v>0</v>
      </c>
      <c r="AH34">
        <v>0</v>
      </c>
      <c r="AI34">
        <v>9.11</v>
      </c>
      <c r="AJ34">
        <v>1</v>
      </c>
      <c r="AK34">
        <v>1</v>
      </c>
      <c r="AL34">
        <v>1</v>
      </c>
      <c r="AM34">
        <v>4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6</v>
      </c>
      <c r="AT34">
        <v>7.1999999999999995E-2</v>
      </c>
      <c r="AU34" t="s">
        <v>6</v>
      </c>
      <c r="AV34">
        <v>0</v>
      </c>
      <c r="AW34">
        <v>2</v>
      </c>
      <c r="AX34">
        <v>67657005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V34">
        <v>0</v>
      </c>
      <c r="CW34">
        <v>0</v>
      </c>
      <c r="CX34">
        <f>ROUND(Y34*Source!I36,7)</f>
        <v>0.1404</v>
      </c>
      <c r="CY34">
        <f t="shared" si="6"/>
        <v>273573.3</v>
      </c>
      <c r="CZ34">
        <f t="shared" si="7"/>
        <v>30030</v>
      </c>
      <c r="DA34">
        <f t="shared" si="8"/>
        <v>9.11</v>
      </c>
      <c r="DB34">
        <f t="shared" si="4"/>
        <v>2162.16</v>
      </c>
      <c r="DC34">
        <f t="shared" si="5"/>
        <v>0</v>
      </c>
      <c r="DD34" t="s">
        <v>6</v>
      </c>
      <c r="DE34" t="s">
        <v>6</v>
      </c>
      <c r="DF34">
        <f t="shared" si="9"/>
        <v>38409.69</v>
      </c>
      <c r="DG34">
        <f t="shared" si="10"/>
        <v>0</v>
      </c>
      <c r="DH34">
        <f>Source!I36*SmtRes!Y34</f>
        <v>0.1404</v>
      </c>
      <c r="DI34">
        <f t="shared" si="11"/>
        <v>273573.3</v>
      </c>
      <c r="DJ34">
        <f>EtalonRes!Y34</f>
        <v>30030</v>
      </c>
      <c r="DK34" t="e">
        <f>Source!BC36</f>
        <v>#REF!</v>
      </c>
      <c r="DL34" t="s">
        <v>6</v>
      </c>
      <c r="DM34">
        <v>0</v>
      </c>
      <c r="DN34" t="s">
        <v>6</v>
      </c>
      <c r="DO34">
        <v>0</v>
      </c>
      <c r="GQ34">
        <v>-1</v>
      </c>
      <c r="GR34">
        <v>-1</v>
      </c>
    </row>
    <row r="35" spans="1:200" x14ac:dyDescent="0.2">
      <c r="A35">
        <f>ROW(Source!A36)</f>
        <v>36</v>
      </c>
      <c r="B35">
        <v>67643165</v>
      </c>
      <c r="C35">
        <v>67656944</v>
      </c>
      <c r="D35">
        <v>49526056</v>
      </c>
      <c r="E35">
        <v>1</v>
      </c>
      <c r="F35">
        <v>1</v>
      </c>
      <c r="G35">
        <v>1</v>
      </c>
      <c r="H35">
        <v>3</v>
      </c>
      <c r="I35" t="s">
        <v>384</v>
      </c>
      <c r="J35" t="s">
        <v>385</v>
      </c>
      <c r="K35" t="s">
        <v>386</v>
      </c>
      <c r="L35">
        <v>1348</v>
      </c>
      <c r="N35">
        <v>1009</v>
      </c>
      <c r="O35" t="s">
        <v>129</v>
      </c>
      <c r="P35" t="s">
        <v>129</v>
      </c>
      <c r="Q35">
        <v>1000</v>
      </c>
      <c r="W35">
        <v>0</v>
      </c>
      <c r="X35">
        <v>-2023495432</v>
      </c>
      <c r="Y35" s="211">
        <f>'6.Ведомость_списания'!F42</f>
        <v>1.7000000000000001E-2</v>
      </c>
      <c r="AA35">
        <v>35877</v>
      </c>
      <c r="AB35">
        <v>0</v>
      </c>
      <c r="AC35">
        <v>0</v>
      </c>
      <c r="AD35">
        <v>0</v>
      </c>
      <c r="AE35">
        <v>3938.2</v>
      </c>
      <c r="AF35">
        <v>0</v>
      </c>
      <c r="AG35">
        <v>0</v>
      </c>
      <c r="AH35">
        <v>0</v>
      </c>
      <c r="AI35">
        <v>9.11</v>
      </c>
      <c r="AJ35">
        <v>1</v>
      </c>
      <c r="AK35">
        <v>1</v>
      </c>
      <c r="AL35">
        <v>1</v>
      </c>
      <c r="AM35">
        <v>4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6</v>
      </c>
      <c r="AT35">
        <v>1.7000000000000001E-2</v>
      </c>
      <c r="AU35" t="s">
        <v>6</v>
      </c>
      <c r="AV35">
        <v>0</v>
      </c>
      <c r="AW35">
        <v>2</v>
      </c>
      <c r="AX35">
        <v>67657006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ROUND(Y35*Source!I36,7)</f>
        <v>3.3149999999999999E-2</v>
      </c>
      <c r="CY35">
        <f t="shared" si="6"/>
        <v>35877</v>
      </c>
      <c r="CZ35">
        <f t="shared" si="7"/>
        <v>3938.2</v>
      </c>
      <c r="DA35">
        <f t="shared" si="8"/>
        <v>9.11</v>
      </c>
      <c r="DB35">
        <f t="shared" si="4"/>
        <v>66.95</v>
      </c>
      <c r="DC35">
        <f t="shared" si="5"/>
        <v>0</v>
      </c>
      <c r="DD35" t="s">
        <v>6</v>
      </c>
      <c r="DE35" t="s">
        <v>6</v>
      </c>
      <c r="DF35">
        <f t="shared" si="9"/>
        <v>1189.32</v>
      </c>
      <c r="DG35">
        <f t="shared" si="10"/>
        <v>0</v>
      </c>
      <c r="DH35">
        <f>Source!I36*SmtRes!Y35</f>
        <v>3.3149999999999999E-2</v>
      </c>
      <c r="DI35">
        <f t="shared" si="11"/>
        <v>35877</v>
      </c>
      <c r="DJ35">
        <f>EtalonRes!Y35</f>
        <v>3938.2</v>
      </c>
      <c r="DK35" t="e">
        <f>Source!BC36</f>
        <v>#REF!</v>
      </c>
      <c r="DL35" t="s">
        <v>6</v>
      </c>
      <c r="DM35">
        <v>0</v>
      </c>
      <c r="DN35" t="s">
        <v>6</v>
      </c>
      <c r="DO35">
        <v>0</v>
      </c>
      <c r="GQ35">
        <v>-1</v>
      </c>
      <c r="GR35">
        <v>-1</v>
      </c>
    </row>
    <row r="36" spans="1:200" x14ac:dyDescent="0.2">
      <c r="A36">
        <f>ROW(Source!A36)</f>
        <v>36</v>
      </c>
      <c r="B36">
        <v>67643165</v>
      </c>
      <c r="C36">
        <v>67656944</v>
      </c>
      <c r="D36">
        <v>49527747</v>
      </c>
      <c r="E36">
        <v>1</v>
      </c>
      <c r="F36">
        <v>1</v>
      </c>
      <c r="G36">
        <v>1</v>
      </c>
      <c r="H36">
        <v>3</v>
      </c>
      <c r="I36" t="s">
        <v>387</v>
      </c>
      <c r="J36" t="s">
        <v>388</v>
      </c>
      <c r="K36" t="s">
        <v>389</v>
      </c>
      <c r="L36">
        <v>1348</v>
      </c>
      <c r="N36">
        <v>1009</v>
      </c>
      <c r="O36" t="s">
        <v>129</v>
      </c>
      <c r="P36" t="s">
        <v>129</v>
      </c>
      <c r="Q36">
        <v>1000</v>
      </c>
      <c r="W36">
        <v>0</v>
      </c>
      <c r="X36">
        <v>-1212497377</v>
      </c>
      <c r="Y36" s="211">
        <f>'6.Ведомость_списания'!F43</f>
        <v>8.0000000000000002E-3</v>
      </c>
      <c r="AA36">
        <v>3753.32</v>
      </c>
      <c r="AB36">
        <v>0</v>
      </c>
      <c r="AC36">
        <v>0</v>
      </c>
      <c r="AD36">
        <v>0</v>
      </c>
      <c r="AE36">
        <v>412</v>
      </c>
      <c r="AF36">
        <v>0</v>
      </c>
      <c r="AG36">
        <v>0</v>
      </c>
      <c r="AH36">
        <v>0</v>
      </c>
      <c r="AI36">
        <v>9.11</v>
      </c>
      <c r="AJ36">
        <v>1</v>
      </c>
      <c r="AK36">
        <v>1</v>
      </c>
      <c r="AL36">
        <v>1</v>
      </c>
      <c r="AM36">
        <v>4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6</v>
      </c>
      <c r="AT36">
        <v>8.0000000000000002E-3</v>
      </c>
      <c r="AU36" t="s">
        <v>6</v>
      </c>
      <c r="AV36">
        <v>0</v>
      </c>
      <c r="AW36">
        <v>2</v>
      </c>
      <c r="AX36">
        <v>67657007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ROUND(Y36*Source!I36,7)</f>
        <v>1.5599999999999999E-2</v>
      </c>
      <c r="CY36">
        <f t="shared" si="6"/>
        <v>3753.32</v>
      </c>
      <c r="CZ36">
        <f t="shared" si="7"/>
        <v>412</v>
      </c>
      <c r="DA36">
        <f t="shared" si="8"/>
        <v>9.11</v>
      </c>
      <c r="DB36">
        <f t="shared" si="4"/>
        <v>3.3</v>
      </c>
      <c r="DC36">
        <f t="shared" si="5"/>
        <v>0</v>
      </c>
      <c r="DD36" t="s">
        <v>6</v>
      </c>
      <c r="DE36" t="s">
        <v>6</v>
      </c>
      <c r="DF36">
        <f t="shared" si="9"/>
        <v>58.55</v>
      </c>
      <c r="DG36">
        <f t="shared" si="10"/>
        <v>0</v>
      </c>
      <c r="DH36">
        <f>Source!I36*SmtRes!Y36</f>
        <v>1.5599999999999999E-2</v>
      </c>
      <c r="DI36">
        <f t="shared" si="11"/>
        <v>3753.32</v>
      </c>
      <c r="DJ36">
        <f>EtalonRes!Y36</f>
        <v>412</v>
      </c>
      <c r="DK36" t="e">
        <f>Source!BC36</f>
        <v>#REF!</v>
      </c>
      <c r="DL36" t="s">
        <v>6</v>
      </c>
      <c r="DM36">
        <v>0</v>
      </c>
      <c r="DN36" t="s">
        <v>6</v>
      </c>
      <c r="DO36">
        <v>0</v>
      </c>
      <c r="GQ36">
        <v>-1</v>
      </c>
      <c r="GR36">
        <v>-1</v>
      </c>
    </row>
    <row r="37" spans="1:200" x14ac:dyDescent="0.2">
      <c r="A37">
        <f>ROW(Source!A36)</f>
        <v>36</v>
      </c>
      <c r="B37">
        <v>67643165</v>
      </c>
      <c r="C37">
        <v>67656944</v>
      </c>
      <c r="D37">
        <v>49528283</v>
      </c>
      <c r="E37">
        <v>1</v>
      </c>
      <c r="F37">
        <v>1</v>
      </c>
      <c r="G37">
        <v>1</v>
      </c>
      <c r="H37">
        <v>3</v>
      </c>
      <c r="I37" t="s">
        <v>390</v>
      </c>
      <c r="J37" t="s">
        <v>391</v>
      </c>
      <c r="K37" t="s">
        <v>392</v>
      </c>
      <c r="L37">
        <v>1339</v>
      </c>
      <c r="N37">
        <v>1007</v>
      </c>
      <c r="O37" t="s">
        <v>33</v>
      </c>
      <c r="P37" t="s">
        <v>33</v>
      </c>
      <c r="Q37">
        <v>1</v>
      </c>
      <c r="W37">
        <v>0</v>
      </c>
      <c r="X37">
        <v>1709400143</v>
      </c>
      <c r="Y37" s="211">
        <f>'6.Ведомость_списания'!F44</f>
        <v>1.25</v>
      </c>
      <c r="AA37">
        <v>4970.42</v>
      </c>
      <c r="AB37">
        <v>0</v>
      </c>
      <c r="AC37">
        <v>0</v>
      </c>
      <c r="AD37">
        <v>0</v>
      </c>
      <c r="AE37">
        <v>545.6</v>
      </c>
      <c r="AF37">
        <v>0</v>
      </c>
      <c r="AG37">
        <v>0</v>
      </c>
      <c r="AH37">
        <v>0</v>
      </c>
      <c r="AI37">
        <v>9.11</v>
      </c>
      <c r="AJ37">
        <v>1</v>
      </c>
      <c r="AK37">
        <v>1</v>
      </c>
      <c r="AL37">
        <v>1</v>
      </c>
      <c r="AM37">
        <v>4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6</v>
      </c>
      <c r="AT37">
        <v>1.25</v>
      </c>
      <c r="AU37" t="s">
        <v>6</v>
      </c>
      <c r="AV37">
        <v>0</v>
      </c>
      <c r="AW37">
        <v>2</v>
      </c>
      <c r="AX37">
        <v>67657008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ROUND(Y37*Source!I36,7)</f>
        <v>2.4375</v>
      </c>
      <c r="CY37">
        <f t="shared" si="6"/>
        <v>4970.42</v>
      </c>
      <c r="CZ37">
        <f t="shared" si="7"/>
        <v>545.6</v>
      </c>
      <c r="DA37">
        <f t="shared" si="8"/>
        <v>9.11</v>
      </c>
      <c r="DB37">
        <f t="shared" si="4"/>
        <v>682</v>
      </c>
      <c r="DC37">
        <f t="shared" si="5"/>
        <v>0</v>
      </c>
      <c r="DD37" t="s">
        <v>6</v>
      </c>
      <c r="DE37" t="s">
        <v>6</v>
      </c>
      <c r="DF37">
        <f t="shared" si="9"/>
        <v>12115.4</v>
      </c>
      <c r="DG37">
        <f t="shared" si="10"/>
        <v>0</v>
      </c>
      <c r="DH37">
        <f>Source!I36*SmtRes!Y37</f>
        <v>2.4375</v>
      </c>
      <c r="DI37">
        <f t="shared" si="11"/>
        <v>4970.42</v>
      </c>
      <c r="DJ37">
        <f>EtalonRes!Y37</f>
        <v>545.6</v>
      </c>
      <c r="DK37" t="e">
        <f>Source!BC36</f>
        <v>#REF!</v>
      </c>
      <c r="DL37" t="s">
        <v>6</v>
      </c>
      <c r="DM37">
        <v>0</v>
      </c>
      <c r="DN37" t="s">
        <v>6</v>
      </c>
      <c r="DO37">
        <v>0</v>
      </c>
      <c r="GQ37">
        <v>-1</v>
      </c>
      <c r="GR37">
        <v>-1</v>
      </c>
    </row>
    <row r="38" spans="1:200" x14ac:dyDescent="0.2">
      <c r="A38">
        <f>ROW(Source!A36)</f>
        <v>36</v>
      </c>
      <c r="B38">
        <v>67643165</v>
      </c>
      <c r="C38">
        <v>67656944</v>
      </c>
      <c r="D38">
        <v>49528288</v>
      </c>
      <c r="E38">
        <v>1</v>
      </c>
      <c r="F38">
        <v>1</v>
      </c>
      <c r="G38">
        <v>1</v>
      </c>
      <c r="H38">
        <v>3</v>
      </c>
      <c r="I38" t="s">
        <v>102</v>
      </c>
      <c r="J38" t="s">
        <v>104</v>
      </c>
      <c r="K38" t="s">
        <v>103</v>
      </c>
      <c r="L38">
        <v>1339</v>
      </c>
      <c r="N38">
        <v>1007</v>
      </c>
      <c r="O38" t="s">
        <v>33</v>
      </c>
      <c r="P38" t="s">
        <v>33</v>
      </c>
      <c r="Q38">
        <v>1</v>
      </c>
      <c r="W38">
        <v>1</v>
      </c>
      <c r="X38">
        <v>2039656126</v>
      </c>
      <c r="Y38">
        <f t="shared" si="3"/>
        <v>-4.0999999999999996</v>
      </c>
      <c r="AA38">
        <v>5400.04</v>
      </c>
      <c r="AB38">
        <v>0</v>
      </c>
      <c r="AC38">
        <v>0</v>
      </c>
      <c r="AD38">
        <v>0</v>
      </c>
      <c r="AE38">
        <v>592.76</v>
      </c>
      <c r="AF38">
        <v>0</v>
      </c>
      <c r="AG38">
        <v>0</v>
      </c>
      <c r="AH38">
        <v>0</v>
      </c>
      <c r="AI38">
        <v>9.11</v>
      </c>
      <c r="AJ38">
        <v>1</v>
      </c>
      <c r="AK38">
        <v>1</v>
      </c>
      <c r="AL38">
        <v>1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 t="s">
        <v>6</v>
      </c>
      <c r="AT38">
        <v>-4.0999999999999996</v>
      </c>
      <c r="AU38" t="s">
        <v>6</v>
      </c>
      <c r="AV38">
        <v>0</v>
      </c>
      <c r="AW38">
        <v>2</v>
      </c>
      <c r="AX38">
        <v>67657009</v>
      </c>
      <c r="AY38">
        <v>1</v>
      </c>
      <c r="AZ38">
        <v>6144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ROUND(Y38*Source!I36,7)</f>
        <v>-7.9950000000000001</v>
      </c>
      <c r="CY38">
        <f t="shared" si="6"/>
        <v>5400.04</v>
      </c>
      <c r="CZ38">
        <f t="shared" si="7"/>
        <v>592.76</v>
      </c>
      <c r="DA38">
        <f t="shared" si="8"/>
        <v>9.11</v>
      </c>
      <c r="DB38">
        <f t="shared" si="4"/>
        <v>-2430.3200000000002</v>
      </c>
      <c r="DC38">
        <f t="shared" si="5"/>
        <v>0</v>
      </c>
      <c r="DD38" t="s">
        <v>6</v>
      </c>
      <c r="DE38" t="s">
        <v>6</v>
      </c>
      <c r="DF38">
        <f t="shared" si="9"/>
        <v>-43173.32</v>
      </c>
      <c r="DG38">
        <f t="shared" si="10"/>
        <v>0</v>
      </c>
      <c r="DH38">
        <f>Source!I36*SmtRes!Y38</f>
        <v>-7.9949999999999992</v>
      </c>
      <c r="DI38">
        <f t="shared" si="11"/>
        <v>5400.04</v>
      </c>
      <c r="DJ38">
        <f>EtalonRes!Y38</f>
        <v>592.76</v>
      </c>
      <c r="DK38" t="e">
        <f>Source!BC36</f>
        <v>#REF!</v>
      </c>
      <c r="DL38" t="s">
        <v>6</v>
      </c>
      <c r="DM38">
        <v>0</v>
      </c>
      <c r="DN38" t="s">
        <v>6</v>
      </c>
      <c r="DO38">
        <v>0</v>
      </c>
      <c r="GP38">
        <v>1</v>
      </c>
      <c r="GQ38">
        <v>-1</v>
      </c>
      <c r="GR38">
        <v>-1</v>
      </c>
    </row>
    <row r="39" spans="1:200" x14ac:dyDescent="0.2">
      <c r="A39">
        <f>ROW(Source!A36)</f>
        <v>36</v>
      </c>
      <c r="B39">
        <v>67643165</v>
      </c>
      <c r="C39">
        <v>67656944</v>
      </c>
      <c r="D39">
        <v>49528288</v>
      </c>
      <c r="E39">
        <v>1</v>
      </c>
      <c r="F39">
        <v>1</v>
      </c>
      <c r="G39">
        <v>1</v>
      </c>
      <c r="H39">
        <v>3</v>
      </c>
      <c r="I39" t="s">
        <v>102</v>
      </c>
      <c r="J39" t="s">
        <v>104</v>
      </c>
      <c r="K39" t="s">
        <v>103</v>
      </c>
      <c r="L39">
        <v>1339</v>
      </c>
      <c r="N39">
        <v>1007</v>
      </c>
      <c r="O39" t="s">
        <v>33</v>
      </c>
      <c r="P39" t="s">
        <v>33</v>
      </c>
      <c r="Q39">
        <v>1</v>
      </c>
      <c r="W39">
        <v>1</v>
      </c>
      <c r="X39">
        <v>2039656126</v>
      </c>
      <c r="Y39">
        <f t="shared" si="3"/>
        <v>3.9846154</v>
      </c>
      <c r="AA39">
        <v>5400.04</v>
      </c>
      <c r="AB39">
        <v>0</v>
      </c>
      <c r="AC39">
        <v>0</v>
      </c>
      <c r="AD39">
        <v>0</v>
      </c>
      <c r="AE39">
        <v>592.76</v>
      </c>
      <c r="AF39">
        <v>0</v>
      </c>
      <c r="AG39">
        <v>0</v>
      </c>
      <c r="AH39">
        <v>0</v>
      </c>
      <c r="AI39">
        <v>9.11</v>
      </c>
      <c r="AJ39">
        <v>1</v>
      </c>
      <c r="AK39">
        <v>1</v>
      </c>
      <c r="AL39">
        <v>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 t="s">
        <v>6</v>
      </c>
      <c r="AT39">
        <v>3.9846154</v>
      </c>
      <c r="AU39" t="s">
        <v>6</v>
      </c>
      <c r="AV39">
        <v>0</v>
      </c>
      <c r="AW39">
        <v>1</v>
      </c>
      <c r="AX39">
        <v>-1</v>
      </c>
      <c r="AY39">
        <v>0</v>
      </c>
      <c r="AZ39">
        <v>0</v>
      </c>
      <c r="BA39" t="s">
        <v>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ROUND(Y39*Source!I36,7)</f>
        <v>7.77</v>
      </c>
      <c r="CY39">
        <f t="shared" si="6"/>
        <v>5400.04</v>
      </c>
      <c r="CZ39">
        <f t="shared" si="7"/>
        <v>592.76</v>
      </c>
      <c r="DA39">
        <f t="shared" si="8"/>
        <v>9.11</v>
      </c>
      <c r="DB39">
        <f t="shared" si="4"/>
        <v>2361.92</v>
      </c>
      <c r="DC39">
        <f t="shared" si="5"/>
        <v>0</v>
      </c>
      <c r="DD39" t="s">
        <v>6</v>
      </c>
      <c r="DE39" t="s">
        <v>6</v>
      </c>
      <c r="DF39">
        <f t="shared" si="9"/>
        <v>41958.31</v>
      </c>
      <c r="DG39">
        <f t="shared" si="10"/>
        <v>0</v>
      </c>
      <c r="DH39">
        <f>Source!I36*SmtRes!Y39</f>
        <v>7.7700000300000003</v>
      </c>
      <c r="DI39">
        <f t="shared" si="11"/>
        <v>5400.04</v>
      </c>
      <c r="DJ39">
        <f t="shared" ref="DJ39:DJ50" si="12">DF39</f>
        <v>41958.31</v>
      </c>
      <c r="DK39" t="e">
        <f>Source!BC36</f>
        <v>#REF!</v>
      </c>
      <c r="DL39" t="s">
        <v>6</v>
      </c>
      <c r="DM39">
        <v>0</v>
      </c>
      <c r="DN39" t="s">
        <v>6</v>
      </c>
      <c r="DO39">
        <v>0</v>
      </c>
      <c r="GP39">
        <v>1</v>
      </c>
      <c r="GQ39">
        <v>-1</v>
      </c>
      <c r="GR39">
        <v>-1</v>
      </c>
    </row>
    <row r="40" spans="1:200" x14ac:dyDescent="0.2">
      <c r="A40">
        <f>ROW(Source!A36)</f>
        <v>36</v>
      </c>
      <c r="B40">
        <v>67643165</v>
      </c>
      <c r="C40">
        <v>67656944</v>
      </c>
      <c r="D40">
        <v>49528386</v>
      </c>
      <c r="E40">
        <v>1</v>
      </c>
      <c r="F40">
        <v>1</v>
      </c>
      <c r="G40">
        <v>1</v>
      </c>
      <c r="H40">
        <v>3</v>
      </c>
      <c r="I40" t="s">
        <v>393</v>
      </c>
      <c r="J40" t="s">
        <v>394</v>
      </c>
      <c r="K40" t="s">
        <v>395</v>
      </c>
      <c r="L40">
        <v>1348</v>
      </c>
      <c r="N40">
        <v>1009</v>
      </c>
      <c r="O40" t="s">
        <v>129</v>
      </c>
      <c r="P40" t="s">
        <v>129</v>
      </c>
      <c r="Q40">
        <v>1000</v>
      </c>
      <c r="W40">
        <v>0</v>
      </c>
      <c r="X40">
        <v>1013174817</v>
      </c>
      <c r="Y40" s="211">
        <f>'6.Ведомость_списания'!F45</f>
        <v>0.21</v>
      </c>
      <c r="AA40">
        <v>4473.1000000000004</v>
      </c>
      <c r="AB40">
        <v>0</v>
      </c>
      <c r="AC40">
        <v>0</v>
      </c>
      <c r="AD40">
        <v>0</v>
      </c>
      <c r="AE40">
        <v>491.01</v>
      </c>
      <c r="AF40">
        <v>0</v>
      </c>
      <c r="AG40">
        <v>0</v>
      </c>
      <c r="AH40">
        <v>0</v>
      </c>
      <c r="AI40">
        <v>9.11</v>
      </c>
      <c r="AJ40">
        <v>1</v>
      </c>
      <c r="AK40">
        <v>1</v>
      </c>
      <c r="AL40">
        <v>1</v>
      </c>
      <c r="AM40">
        <v>4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6</v>
      </c>
      <c r="AT40">
        <v>0.21</v>
      </c>
      <c r="AU40" t="s">
        <v>6</v>
      </c>
      <c r="AV40">
        <v>0</v>
      </c>
      <c r="AW40">
        <v>2</v>
      </c>
      <c r="AX40">
        <v>67657010</v>
      </c>
      <c r="AY40">
        <v>1</v>
      </c>
      <c r="AZ40">
        <v>0</v>
      </c>
      <c r="BA40">
        <v>39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ROUND(Y40*Source!I36,7)</f>
        <v>0.40949999999999998</v>
      </c>
      <c r="CY40">
        <f t="shared" si="6"/>
        <v>4473.1000000000004</v>
      </c>
      <c r="CZ40">
        <f t="shared" si="7"/>
        <v>491.01</v>
      </c>
      <c r="DA40">
        <f t="shared" si="8"/>
        <v>9.11</v>
      </c>
      <c r="DB40">
        <f t="shared" si="4"/>
        <v>103.11</v>
      </c>
      <c r="DC40">
        <f t="shared" si="5"/>
        <v>0</v>
      </c>
      <c r="DD40" t="s">
        <v>6</v>
      </c>
      <c r="DE40" t="s">
        <v>6</v>
      </c>
      <c r="DF40">
        <f t="shared" si="9"/>
        <v>1831.73</v>
      </c>
      <c r="DG40">
        <f t="shared" si="10"/>
        <v>0</v>
      </c>
      <c r="DH40">
        <f>Source!I36*SmtRes!Y40</f>
        <v>0.40949999999999998</v>
      </c>
      <c r="DI40">
        <f t="shared" si="11"/>
        <v>4473.1000000000004</v>
      </c>
      <c r="DJ40">
        <f>EtalonRes!Y39</f>
        <v>491.01</v>
      </c>
      <c r="DK40" t="e">
        <f>Source!BC36</f>
        <v>#REF!</v>
      </c>
      <c r="DL40" t="s">
        <v>6</v>
      </c>
      <c r="DM40">
        <v>0</v>
      </c>
      <c r="DN40" t="s">
        <v>6</v>
      </c>
      <c r="DO40">
        <v>0</v>
      </c>
      <c r="GQ40">
        <v>-1</v>
      </c>
      <c r="GR40">
        <v>-1</v>
      </c>
    </row>
    <row r="41" spans="1:200" x14ac:dyDescent="0.2">
      <c r="A41">
        <f>ROW(Source!A36)</f>
        <v>36</v>
      </c>
      <c r="B41">
        <v>67643165</v>
      </c>
      <c r="C41">
        <v>67656944</v>
      </c>
      <c r="D41">
        <v>49528500</v>
      </c>
      <c r="E41">
        <v>1</v>
      </c>
      <c r="F41">
        <v>1</v>
      </c>
      <c r="G41">
        <v>1</v>
      </c>
      <c r="H41">
        <v>3</v>
      </c>
      <c r="I41" t="s">
        <v>396</v>
      </c>
      <c r="J41" t="s">
        <v>397</v>
      </c>
      <c r="K41" t="s">
        <v>398</v>
      </c>
      <c r="L41">
        <v>1339</v>
      </c>
      <c r="N41">
        <v>1007</v>
      </c>
      <c r="O41" t="s">
        <v>33</v>
      </c>
      <c r="P41" t="s">
        <v>33</v>
      </c>
      <c r="Q41">
        <v>1</v>
      </c>
      <c r="W41">
        <v>0</v>
      </c>
      <c r="X41">
        <v>-969632993</v>
      </c>
      <c r="Y41" s="211">
        <f>'6.Ведомость_списания'!F46</f>
        <v>4.4499999999999998E-2</v>
      </c>
      <c r="AA41">
        <v>3598.45</v>
      </c>
      <c r="AB41">
        <v>0</v>
      </c>
      <c r="AC41">
        <v>0</v>
      </c>
      <c r="AD41">
        <v>0</v>
      </c>
      <c r="AE41">
        <v>395</v>
      </c>
      <c r="AF41">
        <v>0</v>
      </c>
      <c r="AG41">
        <v>0</v>
      </c>
      <c r="AH41">
        <v>0</v>
      </c>
      <c r="AI41">
        <v>9.11</v>
      </c>
      <c r="AJ41">
        <v>1</v>
      </c>
      <c r="AK41">
        <v>1</v>
      </c>
      <c r="AL41">
        <v>1</v>
      </c>
      <c r="AM41">
        <v>4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6</v>
      </c>
      <c r="AT41">
        <v>4.4499999999999998E-2</v>
      </c>
      <c r="AU41" t="s">
        <v>6</v>
      </c>
      <c r="AV41">
        <v>0</v>
      </c>
      <c r="AW41">
        <v>2</v>
      </c>
      <c r="AX41">
        <v>67657011</v>
      </c>
      <c r="AY41">
        <v>1</v>
      </c>
      <c r="AZ41">
        <v>0</v>
      </c>
      <c r="BA41">
        <v>40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ROUND(Y41*Source!I36,7)</f>
        <v>8.6775000000000005E-2</v>
      </c>
      <c r="CY41">
        <f t="shared" si="6"/>
        <v>3598.45</v>
      </c>
      <c r="CZ41">
        <f t="shared" si="7"/>
        <v>395</v>
      </c>
      <c r="DA41">
        <f t="shared" si="8"/>
        <v>9.11</v>
      </c>
      <c r="DB41">
        <f t="shared" si="4"/>
        <v>17.579999999999998</v>
      </c>
      <c r="DC41">
        <f t="shared" si="5"/>
        <v>0</v>
      </c>
      <c r="DD41" t="s">
        <v>6</v>
      </c>
      <c r="DE41" t="s">
        <v>6</v>
      </c>
      <c r="DF41">
        <f t="shared" si="9"/>
        <v>312.26</v>
      </c>
      <c r="DG41">
        <f t="shared" si="10"/>
        <v>0</v>
      </c>
      <c r="DH41">
        <f>Source!I36*SmtRes!Y41</f>
        <v>8.6774999999999991E-2</v>
      </c>
      <c r="DI41">
        <f t="shared" si="11"/>
        <v>3598.45</v>
      </c>
      <c r="DJ41">
        <f>EtalonRes!Y40</f>
        <v>395</v>
      </c>
      <c r="DK41" t="e">
        <f>Source!BC36</f>
        <v>#REF!</v>
      </c>
      <c r="DL41" t="s">
        <v>6</v>
      </c>
      <c r="DM41">
        <v>0</v>
      </c>
      <c r="DN41" t="s">
        <v>6</v>
      </c>
      <c r="DO41">
        <v>0</v>
      </c>
      <c r="GQ41">
        <v>-1</v>
      </c>
      <c r="GR41">
        <v>-1</v>
      </c>
    </row>
    <row r="42" spans="1:200" x14ac:dyDescent="0.2">
      <c r="A42">
        <f>ROW(Source!A36)</f>
        <v>36</v>
      </c>
      <c r="B42">
        <v>67643165</v>
      </c>
      <c r="C42">
        <v>67656944</v>
      </c>
      <c r="D42">
        <v>49528525</v>
      </c>
      <c r="E42">
        <v>1</v>
      </c>
      <c r="F42">
        <v>1</v>
      </c>
      <c r="G42">
        <v>1</v>
      </c>
      <c r="H42">
        <v>3</v>
      </c>
      <c r="I42" t="s">
        <v>399</v>
      </c>
      <c r="J42" t="s">
        <v>400</v>
      </c>
      <c r="K42" t="s">
        <v>401</v>
      </c>
      <c r="L42">
        <v>1339</v>
      </c>
      <c r="N42">
        <v>1007</v>
      </c>
      <c r="O42" t="s">
        <v>33</v>
      </c>
      <c r="P42" t="s">
        <v>33</v>
      </c>
      <c r="Q42">
        <v>1</v>
      </c>
      <c r="W42">
        <v>0</v>
      </c>
      <c r="X42">
        <v>810710044</v>
      </c>
      <c r="Y42" s="211">
        <f>'6.Ведомость_списания'!F47</f>
        <v>0.72</v>
      </c>
      <c r="AA42">
        <v>4426.55</v>
      </c>
      <c r="AB42">
        <v>0</v>
      </c>
      <c r="AC42">
        <v>0</v>
      </c>
      <c r="AD42">
        <v>0</v>
      </c>
      <c r="AE42">
        <v>485.9</v>
      </c>
      <c r="AF42">
        <v>0</v>
      </c>
      <c r="AG42">
        <v>0</v>
      </c>
      <c r="AH42">
        <v>0</v>
      </c>
      <c r="AI42">
        <v>9.11</v>
      </c>
      <c r="AJ42">
        <v>1</v>
      </c>
      <c r="AK42">
        <v>1</v>
      </c>
      <c r="AL42">
        <v>1</v>
      </c>
      <c r="AM42">
        <v>4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6</v>
      </c>
      <c r="AT42">
        <v>0.72</v>
      </c>
      <c r="AU42" t="s">
        <v>6</v>
      </c>
      <c r="AV42">
        <v>0</v>
      </c>
      <c r="AW42">
        <v>2</v>
      </c>
      <c r="AX42">
        <v>67657012</v>
      </c>
      <c r="AY42">
        <v>1</v>
      </c>
      <c r="AZ42">
        <v>0</v>
      </c>
      <c r="BA42">
        <v>41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ROUND(Y42*Source!I36,7)</f>
        <v>1.4039999999999999</v>
      </c>
      <c r="CY42">
        <f t="shared" si="6"/>
        <v>4426.55</v>
      </c>
      <c r="CZ42">
        <f t="shared" si="7"/>
        <v>485.9</v>
      </c>
      <c r="DA42">
        <f t="shared" si="8"/>
        <v>9.11</v>
      </c>
      <c r="DB42">
        <f t="shared" si="4"/>
        <v>349.85</v>
      </c>
      <c r="DC42">
        <f t="shared" si="5"/>
        <v>0</v>
      </c>
      <c r="DD42" t="s">
        <v>6</v>
      </c>
      <c r="DE42" t="s">
        <v>6</v>
      </c>
      <c r="DF42">
        <f t="shared" si="9"/>
        <v>6214.88</v>
      </c>
      <c r="DG42">
        <f t="shared" si="10"/>
        <v>0</v>
      </c>
      <c r="DH42">
        <f>Source!I36*SmtRes!Y42</f>
        <v>1.4039999999999999</v>
      </c>
      <c r="DI42">
        <f t="shared" si="11"/>
        <v>4426.55</v>
      </c>
      <c r="DJ42">
        <f>EtalonRes!Y41</f>
        <v>485.9</v>
      </c>
      <c r="DK42" t="e">
        <f>Source!BC36</f>
        <v>#REF!</v>
      </c>
      <c r="DL42" t="s">
        <v>6</v>
      </c>
      <c r="DM42">
        <v>0</v>
      </c>
      <c r="DN42" t="s">
        <v>6</v>
      </c>
      <c r="DO42">
        <v>0</v>
      </c>
      <c r="GQ42">
        <v>-1</v>
      </c>
      <c r="GR42">
        <v>-1</v>
      </c>
    </row>
    <row r="43" spans="1:200" x14ac:dyDescent="0.2">
      <c r="A43">
        <f>ROW(Source!A36)</f>
        <v>36</v>
      </c>
      <c r="B43">
        <v>67643165</v>
      </c>
      <c r="C43">
        <v>67656944</v>
      </c>
      <c r="D43">
        <v>49529459</v>
      </c>
      <c r="E43">
        <v>1</v>
      </c>
      <c r="F43">
        <v>1</v>
      </c>
      <c r="G43">
        <v>1</v>
      </c>
      <c r="H43">
        <v>3</v>
      </c>
      <c r="I43" t="s">
        <v>123</v>
      </c>
      <c r="J43" t="s">
        <v>125</v>
      </c>
      <c r="K43" t="s">
        <v>124</v>
      </c>
      <c r="L43">
        <v>1371</v>
      </c>
      <c r="N43">
        <v>1013</v>
      </c>
      <c r="O43" t="s">
        <v>99</v>
      </c>
      <c r="P43" t="s">
        <v>99</v>
      </c>
      <c r="Q43">
        <v>1</v>
      </c>
      <c r="W43">
        <v>0</v>
      </c>
      <c r="X43">
        <v>-2058157479</v>
      </c>
      <c r="Y43">
        <f t="shared" si="3"/>
        <v>7.6923076999999997</v>
      </c>
      <c r="AA43">
        <v>286.33</v>
      </c>
      <c r="AB43">
        <v>0</v>
      </c>
      <c r="AC43">
        <v>0</v>
      </c>
      <c r="AD43">
        <v>0</v>
      </c>
      <c r="AE43">
        <v>31.43</v>
      </c>
      <c r="AF43">
        <v>0</v>
      </c>
      <c r="AG43">
        <v>0</v>
      </c>
      <c r="AH43">
        <v>0</v>
      </c>
      <c r="AI43">
        <v>9.11</v>
      </c>
      <c r="AJ43">
        <v>1</v>
      </c>
      <c r="AK43">
        <v>1</v>
      </c>
      <c r="AL43">
        <v>1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 t="s">
        <v>6</v>
      </c>
      <c r="AT43">
        <v>7.6923076999999997</v>
      </c>
      <c r="AU43" t="s">
        <v>6</v>
      </c>
      <c r="AV43">
        <v>0</v>
      </c>
      <c r="AW43">
        <v>1</v>
      </c>
      <c r="AX43">
        <v>-1</v>
      </c>
      <c r="AY43">
        <v>0</v>
      </c>
      <c r="AZ43">
        <v>0</v>
      </c>
      <c r="BA43" t="s">
        <v>6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ROUND(Y43*Source!I36,7)</f>
        <v>15</v>
      </c>
      <c r="CY43">
        <f t="shared" si="6"/>
        <v>286.33</v>
      </c>
      <c r="CZ43">
        <f t="shared" si="7"/>
        <v>31.43</v>
      </c>
      <c r="DA43">
        <f t="shared" si="8"/>
        <v>9.11</v>
      </c>
      <c r="DB43">
        <f t="shared" si="4"/>
        <v>241.77</v>
      </c>
      <c r="DC43">
        <f t="shared" si="5"/>
        <v>0</v>
      </c>
      <c r="DD43" t="s">
        <v>6</v>
      </c>
      <c r="DE43" t="s">
        <v>6</v>
      </c>
      <c r="DF43">
        <f t="shared" si="9"/>
        <v>4294.95</v>
      </c>
      <c r="DG43">
        <f t="shared" si="10"/>
        <v>0</v>
      </c>
      <c r="DH43">
        <f>Source!I36*SmtRes!Y43</f>
        <v>15.000000014999999</v>
      </c>
      <c r="DI43">
        <f t="shared" si="11"/>
        <v>286.33</v>
      </c>
      <c r="DJ43">
        <f t="shared" si="12"/>
        <v>4294.95</v>
      </c>
      <c r="DK43" t="e">
        <f>Source!BC36</f>
        <v>#REF!</v>
      </c>
      <c r="DL43" t="s">
        <v>6</v>
      </c>
      <c r="DM43">
        <v>0</v>
      </c>
      <c r="DN43" t="s">
        <v>6</v>
      </c>
      <c r="DO43">
        <v>0</v>
      </c>
      <c r="GP43">
        <v>1</v>
      </c>
      <c r="GQ43">
        <v>-1</v>
      </c>
      <c r="GR43">
        <v>-1</v>
      </c>
    </row>
    <row r="44" spans="1:200" x14ac:dyDescent="0.2">
      <c r="A44">
        <f>ROW(Source!A36)</f>
        <v>36</v>
      </c>
      <c r="B44">
        <v>67643165</v>
      </c>
      <c r="C44">
        <v>67656944</v>
      </c>
      <c r="D44">
        <v>49529460</v>
      </c>
      <c r="E44">
        <v>1</v>
      </c>
      <c r="F44">
        <v>1</v>
      </c>
      <c r="G44">
        <v>1</v>
      </c>
      <c r="H44">
        <v>3</v>
      </c>
      <c r="I44" t="s">
        <v>119</v>
      </c>
      <c r="J44" t="s">
        <v>121</v>
      </c>
      <c r="K44" t="s">
        <v>120</v>
      </c>
      <c r="L44">
        <v>1371</v>
      </c>
      <c r="N44">
        <v>1013</v>
      </c>
      <c r="O44" t="s">
        <v>99</v>
      </c>
      <c r="P44" t="s">
        <v>99</v>
      </c>
      <c r="Q44">
        <v>1</v>
      </c>
      <c r="W44">
        <v>0</v>
      </c>
      <c r="X44">
        <v>-1695879727</v>
      </c>
      <c r="Y44">
        <f t="shared" si="3"/>
        <v>7.6923076999999997</v>
      </c>
      <c r="AA44">
        <v>715.68</v>
      </c>
      <c r="AB44">
        <v>0</v>
      </c>
      <c r="AC44">
        <v>0</v>
      </c>
      <c r="AD44">
        <v>0</v>
      </c>
      <c r="AE44">
        <v>78.56</v>
      </c>
      <c r="AF44">
        <v>0</v>
      </c>
      <c r="AG44">
        <v>0</v>
      </c>
      <c r="AH44">
        <v>0</v>
      </c>
      <c r="AI44">
        <v>9.11</v>
      </c>
      <c r="AJ44">
        <v>1</v>
      </c>
      <c r="AK44">
        <v>1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 t="s">
        <v>6</v>
      </c>
      <c r="AT44">
        <v>7.6923076999999997</v>
      </c>
      <c r="AU44" t="s">
        <v>6</v>
      </c>
      <c r="AV44">
        <v>0</v>
      </c>
      <c r="AW44">
        <v>1</v>
      </c>
      <c r="AX44">
        <v>-1</v>
      </c>
      <c r="AY44">
        <v>0</v>
      </c>
      <c r="AZ44">
        <v>0</v>
      </c>
      <c r="BA44" t="s">
        <v>6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ROUND(Y44*Source!I36,7)</f>
        <v>15</v>
      </c>
      <c r="CY44">
        <f t="shared" si="6"/>
        <v>715.68</v>
      </c>
      <c r="CZ44">
        <f t="shared" si="7"/>
        <v>78.56</v>
      </c>
      <c r="DA44">
        <f t="shared" si="8"/>
        <v>9.11</v>
      </c>
      <c r="DB44">
        <f t="shared" si="4"/>
        <v>604.30999999999995</v>
      </c>
      <c r="DC44">
        <f t="shared" si="5"/>
        <v>0</v>
      </c>
      <c r="DD44" t="s">
        <v>6</v>
      </c>
      <c r="DE44" t="s">
        <v>6</v>
      </c>
      <c r="DF44">
        <f t="shared" si="9"/>
        <v>10735.2</v>
      </c>
      <c r="DG44">
        <f t="shared" si="10"/>
        <v>0</v>
      </c>
      <c r="DH44">
        <f>Source!I36*SmtRes!Y44</f>
        <v>15.000000014999999</v>
      </c>
      <c r="DI44">
        <f t="shared" si="11"/>
        <v>715.68</v>
      </c>
      <c r="DJ44">
        <f t="shared" si="12"/>
        <v>10735.2</v>
      </c>
      <c r="DK44" t="e">
        <f>Source!BC36</f>
        <v>#REF!</v>
      </c>
      <c r="DL44" t="s">
        <v>6</v>
      </c>
      <c r="DM44">
        <v>0</v>
      </c>
      <c r="DN44" t="s">
        <v>6</v>
      </c>
      <c r="DO44">
        <v>0</v>
      </c>
      <c r="GP44">
        <v>1</v>
      </c>
      <c r="GQ44">
        <v>-1</v>
      </c>
      <c r="GR44">
        <v>-1</v>
      </c>
    </row>
    <row r="45" spans="1:200" x14ac:dyDescent="0.2">
      <c r="A45">
        <f>ROW(Source!A36)</f>
        <v>36</v>
      </c>
      <c r="B45">
        <v>67643165</v>
      </c>
      <c r="C45">
        <v>67656944</v>
      </c>
      <c r="D45">
        <v>49529463</v>
      </c>
      <c r="E45">
        <v>1</v>
      </c>
      <c r="F45">
        <v>1</v>
      </c>
      <c r="G45">
        <v>1</v>
      </c>
      <c r="H45">
        <v>3</v>
      </c>
      <c r="I45" t="s">
        <v>111</v>
      </c>
      <c r="J45" t="s">
        <v>113</v>
      </c>
      <c r="K45" t="s">
        <v>112</v>
      </c>
      <c r="L45">
        <v>1371</v>
      </c>
      <c r="N45">
        <v>1013</v>
      </c>
      <c r="O45" t="s">
        <v>99</v>
      </c>
      <c r="P45" t="s">
        <v>99</v>
      </c>
      <c r="Q45">
        <v>1</v>
      </c>
      <c r="W45">
        <v>0</v>
      </c>
      <c r="X45">
        <v>-156490418</v>
      </c>
      <c r="Y45">
        <f t="shared" si="3"/>
        <v>7.6923076999999997</v>
      </c>
      <c r="AA45">
        <v>1104.1300000000001</v>
      </c>
      <c r="AB45">
        <v>0</v>
      </c>
      <c r="AC45">
        <v>0</v>
      </c>
      <c r="AD45">
        <v>0</v>
      </c>
      <c r="AE45">
        <v>121.2</v>
      </c>
      <c r="AF45">
        <v>0</v>
      </c>
      <c r="AG45">
        <v>0</v>
      </c>
      <c r="AH45">
        <v>0</v>
      </c>
      <c r="AI45">
        <v>9.11</v>
      </c>
      <c r="AJ45">
        <v>1</v>
      </c>
      <c r="AK45">
        <v>1</v>
      </c>
      <c r="AL45">
        <v>1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 t="s">
        <v>6</v>
      </c>
      <c r="AT45">
        <v>7.6923076999999997</v>
      </c>
      <c r="AU45" t="s">
        <v>6</v>
      </c>
      <c r="AV45">
        <v>0</v>
      </c>
      <c r="AW45">
        <v>1</v>
      </c>
      <c r="AX45">
        <v>-1</v>
      </c>
      <c r="AY45">
        <v>0</v>
      </c>
      <c r="AZ45">
        <v>0</v>
      </c>
      <c r="BA45" t="s">
        <v>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ROUND(Y45*Source!I36,7)</f>
        <v>15</v>
      </c>
      <c r="CY45">
        <f t="shared" si="6"/>
        <v>1104.1300000000001</v>
      </c>
      <c r="CZ45">
        <f t="shared" si="7"/>
        <v>121.2</v>
      </c>
      <c r="DA45">
        <f t="shared" si="8"/>
        <v>9.11</v>
      </c>
      <c r="DB45">
        <f t="shared" si="4"/>
        <v>932.31</v>
      </c>
      <c r="DC45">
        <f t="shared" si="5"/>
        <v>0</v>
      </c>
      <c r="DD45" t="s">
        <v>6</v>
      </c>
      <c r="DE45" t="s">
        <v>6</v>
      </c>
      <c r="DF45">
        <f t="shared" si="9"/>
        <v>16561.95</v>
      </c>
      <c r="DG45">
        <f t="shared" si="10"/>
        <v>0</v>
      </c>
      <c r="DH45">
        <f>Source!I36*SmtRes!Y45</f>
        <v>15.000000014999999</v>
      </c>
      <c r="DI45">
        <f t="shared" si="11"/>
        <v>1104.1300000000001</v>
      </c>
      <c r="DJ45">
        <f t="shared" si="12"/>
        <v>16561.95</v>
      </c>
      <c r="DK45" t="e">
        <f>Source!BC36</f>
        <v>#REF!</v>
      </c>
      <c r="DL45" t="s">
        <v>6</v>
      </c>
      <c r="DM45">
        <v>0</v>
      </c>
      <c r="DN45" t="s">
        <v>6</v>
      </c>
      <c r="DO45">
        <v>0</v>
      </c>
      <c r="GP45">
        <v>1</v>
      </c>
      <c r="GQ45">
        <v>-1</v>
      </c>
      <c r="GR45">
        <v>-1</v>
      </c>
    </row>
    <row r="46" spans="1:200" x14ac:dyDescent="0.2">
      <c r="A46">
        <f>ROW(Source!A36)</f>
        <v>36</v>
      </c>
      <c r="B46">
        <v>67643165</v>
      </c>
      <c r="C46">
        <v>67656944</v>
      </c>
      <c r="D46">
        <v>49529465</v>
      </c>
      <c r="E46">
        <v>1</v>
      </c>
      <c r="F46">
        <v>1</v>
      </c>
      <c r="G46">
        <v>1</v>
      </c>
      <c r="H46">
        <v>3</v>
      </c>
      <c r="I46" t="s">
        <v>107</v>
      </c>
      <c r="J46" t="s">
        <v>109</v>
      </c>
      <c r="K46" t="s">
        <v>108</v>
      </c>
      <c r="L46">
        <v>1371</v>
      </c>
      <c r="N46">
        <v>1013</v>
      </c>
      <c r="O46" t="s">
        <v>99</v>
      </c>
      <c r="P46" t="s">
        <v>99</v>
      </c>
      <c r="Q46">
        <v>1</v>
      </c>
      <c r="W46">
        <v>0</v>
      </c>
      <c r="X46">
        <v>-1054581583</v>
      </c>
      <c r="Y46">
        <f t="shared" si="3"/>
        <v>7.6923076999999997</v>
      </c>
      <c r="AA46">
        <v>3298.73</v>
      </c>
      <c r="AB46">
        <v>0</v>
      </c>
      <c r="AC46">
        <v>0</v>
      </c>
      <c r="AD46">
        <v>0</v>
      </c>
      <c r="AE46">
        <v>362.1</v>
      </c>
      <c r="AF46">
        <v>0</v>
      </c>
      <c r="AG46">
        <v>0</v>
      </c>
      <c r="AH46">
        <v>0</v>
      </c>
      <c r="AI46">
        <v>9.11</v>
      </c>
      <c r="AJ46">
        <v>1</v>
      </c>
      <c r="AK46">
        <v>1</v>
      </c>
      <c r="AL46">
        <v>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 t="s">
        <v>6</v>
      </c>
      <c r="AT46">
        <v>7.6923076999999997</v>
      </c>
      <c r="AU46" t="s">
        <v>6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ROUND(Y46*Source!I36,7)</f>
        <v>15</v>
      </c>
      <c r="CY46">
        <f t="shared" si="6"/>
        <v>3298.73</v>
      </c>
      <c r="CZ46">
        <f t="shared" si="7"/>
        <v>362.1</v>
      </c>
      <c r="DA46">
        <f t="shared" si="8"/>
        <v>9.11</v>
      </c>
      <c r="DB46">
        <f t="shared" si="4"/>
        <v>2785.38</v>
      </c>
      <c r="DC46">
        <f t="shared" si="5"/>
        <v>0</v>
      </c>
      <c r="DD46" t="s">
        <v>6</v>
      </c>
      <c r="DE46" t="s">
        <v>6</v>
      </c>
      <c r="DF46">
        <f t="shared" si="9"/>
        <v>49480.95</v>
      </c>
      <c r="DG46">
        <f t="shared" si="10"/>
        <v>0</v>
      </c>
      <c r="DH46">
        <f>Source!I36*SmtRes!Y46</f>
        <v>15.000000014999999</v>
      </c>
      <c r="DI46">
        <f t="shared" si="11"/>
        <v>3298.73</v>
      </c>
      <c r="DJ46">
        <f t="shared" si="12"/>
        <v>49480.95</v>
      </c>
      <c r="DK46" t="e">
        <f>Source!BC36</f>
        <v>#REF!</v>
      </c>
      <c r="DL46" t="s">
        <v>6</v>
      </c>
      <c r="DM46">
        <v>0</v>
      </c>
      <c r="DN46" t="s">
        <v>6</v>
      </c>
      <c r="DO46">
        <v>0</v>
      </c>
      <c r="GP46">
        <v>1</v>
      </c>
      <c r="GQ46">
        <v>-1</v>
      </c>
      <c r="GR46">
        <v>-1</v>
      </c>
    </row>
    <row r="47" spans="1:200" x14ac:dyDescent="0.2">
      <c r="A47">
        <f>ROW(Source!A36)</f>
        <v>36</v>
      </c>
      <c r="B47">
        <v>67643165</v>
      </c>
      <c r="C47">
        <v>67656944</v>
      </c>
      <c r="D47">
        <v>49529647</v>
      </c>
      <c r="E47">
        <v>1</v>
      </c>
      <c r="F47">
        <v>1</v>
      </c>
      <c r="G47">
        <v>1</v>
      </c>
      <c r="H47">
        <v>3</v>
      </c>
      <c r="I47" t="s">
        <v>97</v>
      </c>
      <c r="J47" t="s">
        <v>100</v>
      </c>
      <c r="K47" t="s">
        <v>98</v>
      </c>
      <c r="L47">
        <v>1371</v>
      </c>
      <c r="N47">
        <v>1013</v>
      </c>
      <c r="O47" t="s">
        <v>99</v>
      </c>
      <c r="P47" t="s">
        <v>99</v>
      </c>
      <c r="Q47">
        <v>1</v>
      </c>
      <c r="W47">
        <v>0</v>
      </c>
      <c r="X47">
        <v>1854240702</v>
      </c>
      <c r="Y47">
        <f t="shared" si="3"/>
        <v>7.6923076999999997</v>
      </c>
      <c r="AA47">
        <v>1963.02</v>
      </c>
      <c r="AB47">
        <v>0</v>
      </c>
      <c r="AC47">
        <v>0</v>
      </c>
      <c r="AD47">
        <v>0</v>
      </c>
      <c r="AE47">
        <v>215.48</v>
      </c>
      <c r="AF47">
        <v>0</v>
      </c>
      <c r="AG47">
        <v>0</v>
      </c>
      <c r="AH47">
        <v>0</v>
      </c>
      <c r="AI47">
        <v>9.11</v>
      </c>
      <c r="AJ47">
        <v>1</v>
      </c>
      <c r="AK47">
        <v>1</v>
      </c>
      <c r="AL47">
        <v>1</v>
      </c>
      <c r="AM47">
        <v>0</v>
      </c>
      <c r="AN47">
        <v>1</v>
      </c>
      <c r="AO47">
        <v>0</v>
      </c>
      <c r="AP47">
        <v>1</v>
      </c>
      <c r="AQ47">
        <v>0</v>
      </c>
      <c r="AR47">
        <v>0</v>
      </c>
      <c r="AS47" t="s">
        <v>6</v>
      </c>
      <c r="AT47">
        <v>7.6923076999999997</v>
      </c>
      <c r="AU47" t="s">
        <v>6</v>
      </c>
      <c r="AV47">
        <v>0</v>
      </c>
      <c r="AW47">
        <v>1</v>
      </c>
      <c r="AX47">
        <v>-1</v>
      </c>
      <c r="AY47">
        <v>0</v>
      </c>
      <c r="AZ47">
        <v>0</v>
      </c>
      <c r="BA47" t="s">
        <v>6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V47">
        <v>0</v>
      </c>
      <c r="CW47">
        <v>0</v>
      </c>
      <c r="CX47">
        <f>ROUND(Y47*Source!I36,7)</f>
        <v>15</v>
      </c>
      <c r="CY47">
        <f t="shared" si="6"/>
        <v>1963.02</v>
      </c>
      <c r="CZ47">
        <f t="shared" si="7"/>
        <v>215.48</v>
      </c>
      <c r="DA47">
        <f t="shared" si="8"/>
        <v>9.11</v>
      </c>
      <c r="DB47">
        <f t="shared" si="4"/>
        <v>1657.54</v>
      </c>
      <c r="DC47">
        <f t="shared" si="5"/>
        <v>0</v>
      </c>
      <c r="DD47" t="s">
        <v>6</v>
      </c>
      <c r="DE47" t="s">
        <v>6</v>
      </c>
      <c r="DF47">
        <f t="shared" si="9"/>
        <v>29445.3</v>
      </c>
      <c r="DG47">
        <f t="shared" si="10"/>
        <v>0</v>
      </c>
      <c r="DH47">
        <f>Source!I36*SmtRes!Y47</f>
        <v>15.000000014999999</v>
      </c>
      <c r="DI47">
        <f t="shared" si="11"/>
        <v>1963.02</v>
      </c>
      <c r="DJ47">
        <f t="shared" si="12"/>
        <v>29445.3</v>
      </c>
      <c r="DK47" t="e">
        <f>Source!BC36</f>
        <v>#REF!</v>
      </c>
      <c r="DL47" t="s">
        <v>6</v>
      </c>
      <c r="DM47">
        <v>0</v>
      </c>
      <c r="DN47" t="s">
        <v>6</v>
      </c>
      <c r="DO47">
        <v>0</v>
      </c>
      <c r="GP47">
        <v>1</v>
      </c>
      <c r="GQ47">
        <v>-1</v>
      </c>
      <c r="GR47">
        <v>-1</v>
      </c>
    </row>
    <row r="48" spans="1:200" x14ac:dyDescent="0.2">
      <c r="A48">
        <f>ROW(Source!A36)</f>
        <v>36</v>
      </c>
      <c r="B48">
        <v>67643165</v>
      </c>
      <c r="C48">
        <v>67656944</v>
      </c>
      <c r="D48">
        <v>49536008</v>
      </c>
      <c r="E48">
        <v>1</v>
      </c>
      <c r="F48">
        <v>1</v>
      </c>
      <c r="G48">
        <v>1</v>
      </c>
      <c r="H48">
        <v>3</v>
      </c>
      <c r="I48" t="s">
        <v>115</v>
      </c>
      <c r="J48" t="s">
        <v>117</v>
      </c>
      <c r="K48" t="s">
        <v>116</v>
      </c>
      <c r="L48">
        <v>1371</v>
      </c>
      <c r="N48">
        <v>1013</v>
      </c>
      <c r="O48" t="s">
        <v>99</v>
      </c>
      <c r="P48" t="s">
        <v>99</v>
      </c>
      <c r="Q48">
        <v>1</v>
      </c>
      <c r="W48">
        <v>0</v>
      </c>
      <c r="X48">
        <v>520743523</v>
      </c>
      <c r="Y48">
        <f t="shared" si="3"/>
        <v>7.6923076999999997</v>
      </c>
      <c r="AA48">
        <v>1599.44</v>
      </c>
      <c r="AB48">
        <v>0</v>
      </c>
      <c r="AC48">
        <v>0</v>
      </c>
      <c r="AD48">
        <v>0</v>
      </c>
      <c r="AE48">
        <v>175.57</v>
      </c>
      <c r="AF48">
        <v>0</v>
      </c>
      <c r="AG48">
        <v>0</v>
      </c>
      <c r="AH48">
        <v>0</v>
      </c>
      <c r="AI48">
        <v>9.11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1</v>
      </c>
      <c r="AQ48">
        <v>0</v>
      </c>
      <c r="AR48">
        <v>0</v>
      </c>
      <c r="AS48" t="s">
        <v>6</v>
      </c>
      <c r="AT48">
        <v>7.6923076999999997</v>
      </c>
      <c r="AU48" t="s">
        <v>6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ROUND(Y48*Source!I36,7)</f>
        <v>15</v>
      </c>
      <c r="CY48">
        <f t="shared" si="6"/>
        <v>1599.44</v>
      </c>
      <c r="CZ48">
        <f t="shared" si="7"/>
        <v>175.57</v>
      </c>
      <c r="DA48">
        <f t="shared" si="8"/>
        <v>9.11</v>
      </c>
      <c r="DB48">
        <f t="shared" si="4"/>
        <v>1350.54</v>
      </c>
      <c r="DC48">
        <f t="shared" si="5"/>
        <v>0</v>
      </c>
      <c r="DD48" t="s">
        <v>6</v>
      </c>
      <c r="DE48" t="s">
        <v>6</v>
      </c>
      <c r="DF48">
        <f t="shared" si="9"/>
        <v>23991.599999999999</v>
      </c>
      <c r="DG48">
        <f t="shared" si="10"/>
        <v>0</v>
      </c>
      <c r="DH48">
        <f>Source!I36*SmtRes!Y48</f>
        <v>15.000000014999999</v>
      </c>
      <c r="DI48">
        <f t="shared" si="11"/>
        <v>1599.44</v>
      </c>
      <c r="DJ48">
        <f t="shared" si="12"/>
        <v>23991.599999999999</v>
      </c>
      <c r="DK48" t="e">
        <f>Source!BC36</f>
        <v>#REF!</v>
      </c>
      <c r="DL48" t="s">
        <v>6</v>
      </c>
      <c r="DM48">
        <v>0</v>
      </c>
      <c r="DN48" t="s">
        <v>6</v>
      </c>
      <c r="DO48">
        <v>0</v>
      </c>
      <c r="GP48">
        <v>1</v>
      </c>
      <c r="GQ48">
        <v>-1</v>
      </c>
      <c r="GR48">
        <v>-1</v>
      </c>
    </row>
    <row r="49" spans="1:200" x14ac:dyDescent="0.2">
      <c r="A49">
        <f>ROW(Source!A36)</f>
        <v>36</v>
      </c>
      <c r="B49">
        <v>67643165</v>
      </c>
      <c r="C49">
        <v>67656944</v>
      </c>
      <c r="D49">
        <v>49539501</v>
      </c>
      <c r="E49">
        <v>1</v>
      </c>
      <c r="F49">
        <v>1</v>
      </c>
      <c r="G49">
        <v>1</v>
      </c>
      <c r="H49">
        <v>3</v>
      </c>
      <c r="I49" t="s">
        <v>127</v>
      </c>
      <c r="J49" t="s">
        <v>130</v>
      </c>
      <c r="K49" t="s">
        <v>128</v>
      </c>
      <c r="L49">
        <v>1348</v>
      </c>
      <c r="N49">
        <v>1009</v>
      </c>
      <c r="O49" t="s">
        <v>129</v>
      </c>
      <c r="P49" t="s">
        <v>129</v>
      </c>
      <c r="Q49">
        <v>1000</v>
      </c>
      <c r="W49">
        <v>0</v>
      </c>
      <c r="X49">
        <v>1853686766</v>
      </c>
      <c r="Y49">
        <f t="shared" ref="Y49:Y78" si="13">AT49</f>
        <v>9.3846150000000003E-2</v>
      </c>
      <c r="AA49">
        <v>68971.81</v>
      </c>
      <c r="AB49">
        <v>0</v>
      </c>
      <c r="AC49">
        <v>0</v>
      </c>
      <c r="AD49">
        <v>0</v>
      </c>
      <c r="AE49">
        <v>7571</v>
      </c>
      <c r="AF49">
        <v>0</v>
      </c>
      <c r="AG49">
        <v>0</v>
      </c>
      <c r="AH49">
        <v>0</v>
      </c>
      <c r="AI49">
        <v>9.11</v>
      </c>
      <c r="AJ49">
        <v>1</v>
      </c>
      <c r="AK49">
        <v>1</v>
      </c>
      <c r="AL49">
        <v>1</v>
      </c>
      <c r="AM49">
        <v>0</v>
      </c>
      <c r="AN49">
        <v>1</v>
      </c>
      <c r="AO49">
        <v>0</v>
      </c>
      <c r="AP49">
        <v>1</v>
      </c>
      <c r="AQ49">
        <v>0</v>
      </c>
      <c r="AR49">
        <v>0</v>
      </c>
      <c r="AS49" t="s">
        <v>6</v>
      </c>
      <c r="AT49">
        <v>9.3846150000000003E-2</v>
      </c>
      <c r="AU49" t="s">
        <v>6</v>
      </c>
      <c r="AV49">
        <v>0</v>
      </c>
      <c r="AW49">
        <v>2</v>
      </c>
      <c r="AX49">
        <v>67657015</v>
      </c>
      <c r="AY49">
        <v>1</v>
      </c>
      <c r="AZ49">
        <v>6144</v>
      </c>
      <c r="BA49">
        <v>44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ROUND(Y49*Source!I36,7)</f>
        <v>0.183</v>
      </c>
      <c r="CY49">
        <f t="shared" si="6"/>
        <v>68971.81</v>
      </c>
      <c r="CZ49">
        <f t="shared" si="7"/>
        <v>7571</v>
      </c>
      <c r="DA49">
        <f t="shared" si="8"/>
        <v>9.11</v>
      </c>
      <c r="DB49">
        <f t="shared" ref="DB49:DB80" si="14">ROUND(ROUND(AT49*CZ49,2),2)</f>
        <v>710.51</v>
      </c>
      <c r="DC49">
        <f t="shared" ref="DC49:DC80" si="15">ROUND(ROUND(AT49*AG49,2),2)</f>
        <v>0</v>
      </c>
      <c r="DD49" t="s">
        <v>6</v>
      </c>
      <c r="DE49" t="s">
        <v>6</v>
      </c>
      <c r="DF49">
        <f t="shared" si="9"/>
        <v>12621.84</v>
      </c>
      <c r="DG49">
        <f t="shared" si="10"/>
        <v>0</v>
      </c>
      <c r="DH49">
        <f>Source!I36*SmtRes!Y49</f>
        <v>0.18299999250000001</v>
      </c>
      <c r="DI49">
        <f t="shared" si="11"/>
        <v>68971.81</v>
      </c>
      <c r="DJ49">
        <f>EtalonRes!Y44</f>
        <v>7571</v>
      </c>
      <c r="DK49" t="e">
        <f>Source!BC36</f>
        <v>#REF!</v>
      </c>
      <c r="DL49" t="s">
        <v>6</v>
      </c>
      <c r="DM49">
        <v>0</v>
      </c>
      <c r="DN49" t="s">
        <v>6</v>
      </c>
      <c r="DO49">
        <v>0</v>
      </c>
      <c r="GP49">
        <v>1</v>
      </c>
      <c r="GQ49">
        <v>-1</v>
      </c>
      <c r="GR49">
        <v>-1</v>
      </c>
    </row>
    <row r="50" spans="1:200" x14ac:dyDescent="0.2">
      <c r="A50">
        <f>ROW(Source!A36)</f>
        <v>36</v>
      </c>
      <c r="B50">
        <v>67643165</v>
      </c>
      <c r="C50">
        <v>67656944</v>
      </c>
      <c r="D50">
        <v>49541178</v>
      </c>
      <c r="E50">
        <v>1</v>
      </c>
      <c r="F50">
        <v>1</v>
      </c>
      <c r="G50">
        <v>1</v>
      </c>
      <c r="H50">
        <v>3</v>
      </c>
      <c r="I50" t="s">
        <v>132</v>
      </c>
      <c r="J50" t="s">
        <v>134</v>
      </c>
      <c r="K50" t="s">
        <v>133</v>
      </c>
      <c r="L50">
        <v>1371</v>
      </c>
      <c r="N50">
        <v>1013</v>
      </c>
      <c r="O50" t="s">
        <v>99</v>
      </c>
      <c r="P50" t="s">
        <v>99</v>
      </c>
      <c r="Q50">
        <v>1</v>
      </c>
      <c r="W50">
        <v>0</v>
      </c>
      <c r="X50">
        <v>252477108</v>
      </c>
      <c r="Y50">
        <f t="shared" si="13"/>
        <v>7.6923076999999997</v>
      </c>
      <c r="AA50">
        <v>10829.17</v>
      </c>
      <c r="AB50">
        <v>0</v>
      </c>
      <c r="AC50">
        <v>0</v>
      </c>
      <c r="AD50">
        <v>0</v>
      </c>
      <c r="AE50">
        <v>11388.17</v>
      </c>
      <c r="AF50">
        <v>0</v>
      </c>
      <c r="AG50">
        <v>0</v>
      </c>
      <c r="AH50">
        <v>0</v>
      </c>
      <c r="AI50">
        <v>9.11</v>
      </c>
      <c r="AJ50">
        <v>1</v>
      </c>
      <c r="AK50">
        <v>1</v>
      </c>
      <c r="AL50">
        <v>1</v>
      </c>
      <c r="AM50">
        <v>0</v>
      </c>
      <c r="AN50">
        <v>1</v>
      </c>
      <c r="AO50">
        <v>0</v>
      </c>
      <c r="AP50">
        <v>1</v>
      </c>
      <c r="AQ50">
        <v>0</v>
      </c>
      <c r="AR50">
        <v>0</v>
      </c>
      <c r="AS50" t="s">
        <v>6</v>
      </c>
      <c r="AT50">
        <v>7.6923076999999997</v>
      </c>
      <c r="AU50" t="s">
        <v>6</v>
      </c>
      <c r="AV50">
        <v>0</v>
      </c>
      <c r="AW50">
        <v>1</v>
      </c>
      <c r="AX50">
        <v>-1</v>
      </c>
      <c r="AY50">
        <v>0</v>
      </c>
      <c r="AZ50">
        <v>0</v>
      </c>
      <c r="BA50" t="s">
        <v>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ROUND(Y50*Source!I36,7)</f>
        <v>15</v>
      </c>
      <c r="CY50">
        <f t="shared" si="6"/>
        <v>10829.17</v>
      </c>
      <c r="CZ50">
        <f t="shared" si="7"/>
        <v>11388.17</v>
      </c>
      <c r="DA50">
        <f t="shared" si="8"/>
        <v>9.11</v>
      </c>
      <c r="DB50">
        <f t="shared" si="14"/>
        <v>87601.31</v>
      </c>
      <c r="DC50">
        <f t="shared" si="15"/>
        <v>0</v>
      </c>
      <c r="DD50" t="s">
        <v>6</v>
      </c>
      <c r="DE50" t="s">
        <v>6</v>
      </c>
      <c r="DF50">
        <f t="shared" si="9"/>
        <v>1556193.45</v>
      </c>
      <c r="DG50">
        <f t="shared" si="10"/>
        <v>0</v>
      </c>
      <c r="DH50">
        <f>Source!I36*SmtRes!Y50</f>
        <v>15.000000014999999</v>
      </c>
      <c r="DI50">
        <f t="shared" si="11"/>
        <v>10829.17</v>
      </c>
      <c r="DJ50">
        <f t="shared" si="12"/>
        <v>1556193.45</v>
      </c>
      <c r="DK50" t="e">
        <f>Source!BC36</f>
        <v>#REF!</v>
      </c>
      <c r="DL50" t="s">
        <v>6</v>
      </c>
      <c r="DM50">
        <v>0</v>
      </c>
      <c r="DN50" t="s">
        <v>6</v>
      </c>
      <c r="DO50">
        <v>0</v>
      </c>
      <c r="GP50">
        <v>1</v>
      </c>
      <c r="GQ50">
        <v>-1</v>
      </c>
      <c r="GR50">
        <v>-1</v>
      </c>
    </row>
    <row r="51" spans="1:200" x14ac:dyDescent="0.2">
      <c r="A51">
        <f>ROW(Source!A47)</f>
        <v>47</v>
      </c>
      <c r="B51">
        <v>67643165</v>
      </c>
      <c r="C51">
        <v>67660324</v>
      </c>
      <c r="D51">
        <v>49510731</v>
      </c>
      <c r="E51">
        <v>70</v>
      </c>
      <c r="F51">
        <v>1</v>
      </c>
      <c r="G51">
        <v>1</v>
      </c>
      <c r="H51">
        <v>1</v>
      </c>
      <c r="I51" t="s">
        <v>370</v>
      </c>
      <c r="J51" t="s">
        <v>6</v>
      </c>
      <c r="K51" t="s">
        <v>371</v>
      </c>
      <c r="L51">
        <v>1191</v>
      </c>
      <c r="N51">
        <v>1013</v>
      </c>
      <c r="O51" t="s">
        <v>340</v>
      </c>
      <c r="P51" t="s">
        <v>340</v>
      </c>
      <c r="Q51">
        <v>1</v>
      </c>
      <c r="W51">
        <v>0</v>
      </c>
      <c r="X51">
        <v>1893946532</v>
      </c>
      <c r="Y51">
        <f t="shared" si="13"/>
        <v>111.6</v>
      </c>
      <c r="AA51">
        <v>0</v>
      </c>
      <c r="AB51">
        <v>0</v>
      </c>
      <c r="AC51">
        <v>0</v>
      </c>
      <c r="AD51">
        <v>302.85000000000002</v>
      </c>
      <c r="AE51">
        <v>0</v>
      </c>
      <c r="AF51">
        <v>0</v>
      </c>
      <c r="AG51">
        <v>0</v>
      </c>
      <c r="AH51">
        <v>9.07</v>
      </c>
      <c r="AI51">
        <v>1</v>
      </c>
      <c r="AJ51">
        <v>1</v>
      </c>
      <c r="AK51">
        <v>1</v>
      </c>
      <c r="AL51">
        <v>33.39</v>
      </c>
      <c r="AM51">
        <v>4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6</v>
      </c>
      <c r="AT51">
        <v>111.6</v>
      </c>
      <c r="AU51" t="s">
        <v>6</v>
      </c>
      <c r="AV51">
        <v>1</v>
      </c>
      <c r="AW51">
        <v>2</v>
      </c>
      <c r="AX51">
        <v>67660349</v>
      </c>
      <c r="AY51">
        <v>1</v>
      </c>
      <c r="AZ51">
        <v>0</v>
      </c>
      <c r="BA51">
        <v>46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U51">
        <f>ROUND(AT51*Source!I47*AH51*AL51,2)</f>
        <v>11491.24</v>
      </c>
      <c r="CV51">
        <f>ROUND(Y51*Source!I47,7)</f>
        <v>37.944000000000003</v>
      </c>
      <c r="CW51">
        <v>0</v>
      </c>
      <c r="CX51">
        <f>ROUND(Y51*Source!I47,7)</f>
        <v>37.944000000000003</v>
      </c>
      <c r="CY51">
        <f>AD51</f>
        <v>302.85000000000002</v>
      </c>
      <c r="CZ51">
        <f>AH51</f>
        <v>9.07</v>
      </c>
      <c r="DA51">
        <f>AL51</f>
        <v>33.39</v>
      </c>
      <c r="DB51">
        <f t="shared" si="14"/>
        <v>1012.21</v>
      </c>
      <c r="DC51">
        <f t="shared" si="15"/>
        <v>0</v>
      </c>
      <c r="DD51" t="s">
        <v>6</v>
      </c>
      <c r="DE51" t="s">
        <v>6</v>
      </c>
      <c r="DF51">
        <f>ROUND(ROUND(AE51,2)*CX51,2)</f>
        <v>0</v>
      </c>
      <c r="DG51">
        <f t="shared" si="10"/>
        <v>0</v>
      </c>
      <c r="DH51">
        <f>Source!I47*SmtRes!Y51</f>
        <v>37.944000000000003</v>
      </c>
      <c r="DI51">
        <f>AD51</f>
        <v>302.85000000000002</v>
      </c>
      <c r="DJ51">
        <f>EtalonRes!AB46</f>
        <v>9.07</v>
      </c>
      <c r="DK51" t="e">
        <f>Source!BA47</f>
        <v>#REF!</v>
      </c>
      <c r="DL51" t="s">
        <v>6</v>
      </c>
      <c r="DM51">
        <v>0</v>
      </c>
      <c r="DN51" t="s">
        <v>6</v>
      </c>
      <c r="DO51">
        <v>0</v>
      </c>
      <c r="GQ51">
        <v>-1</v>
      </c>
      <c r="GR51">
        <v>-1</v>
      </c>
    </row>
    <row r="52" spans="1:200" x14ac:dyDescent="0.2">
      <c r="A52">
        <f>ROW(Source!A47)</f>
        <v>47</v>
      </c>
      <c r="B52">
        <v>67643165</v>
      </c>
      <c r="C52">
        <v>67660324</v>
      </c>
      <c r="D52">
        <v>49510905</v>
      </c>
      <c r="E52">
        <v>70</v>
      </c>
      <c r="F52">
        <v>1</v>
      </c>
      <c r="G52">
        <v>1</v>
      </c>
      <c r="H52">
        <v>1</v>
      </c>
      <c r="I52" t="s">
        <v>341</v>
      </c>
      <c r="J52" t="s">
        <v>6</v>
      </c>
      <c r="K52" t="s">
        <v>342</v>
      </c>
      <c r="L52">
        <v>1191</v>
      </c>
      <c r="N52">
        <v>1013</v>
      </c>
      <c r="O52" t="s">
        <v>340</v>
      </c>
      <c r="P52" t="s">
        <v>340</v>
      </c>
      <c r="Q52">
        <v>1</v>
      </c>
      <c r="W52">
        <v>0</v>
      </c>
      <c r="X52">
        <v>-1417349443</v>
      </c>
      <c r="Y52">
        <f t="shared" si="13"/>
        <v>16.45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33.39</v>
      </c>
      <c r="AL52">
        <v>1</v>
      </c>
      <c r="AM52">
        <v>4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6</v>
      </c>
      <c r="AT52">
        <v>16.45</v>
      </c>
      <c r="AU52" t="s">
        <v>6</v>
      </c>
      <c r="AV52">
        <v>2</v>
      </c>
      <c r="AW52">
        <v>2</v>
      </c>
      <c r="AX52">
        <v>67660350</v>
      </c>
      <c r="AY52">
        <v>1</v>
      </c>
      <c r="AZ52">
        <v>0</v>
      </c>
      <c r="BA52">
        <v>47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ROUND(Y52*Source!I47,7)</f>
        <v>5.593</v>
      </c>
      <c r="CY52">
        <f>AD52</f>
        <v>0</v>
      </c>
      <c r="CZ52">
        <f>AH52</f>
        <v>0</v>
      </c>
      <c r="DA52">
        <f>AL52</f>
        <v>1</v>
      </c>
      <c r="DB52">
        <f t="shared" si="14"/>
        <v>0</v>
      </c>
      <c r="DC52">
        <f t="shared" si="15"/>
        <v>0</v>
      </c>
      <c r="DD52" t="s">
        <v>6</v>
      </c>
      <c r="DE52" t="s">
        <v>6</v>
      </c>
      <c r="DF52">
        <f>ROUND(ROUND(AE52,2)*CX52,2)</f>
        <v>0</v>
      </c>
      <c r="DG52">
        <f t="shared" si="10"/>
        <v>0</v>
      </c>
      <c r="DH52">
        <f>Source!I47*SmtRes!Y52</f>
        <v>5.593</v>
      </c>
      <c r="DI52">
        <f>AD52</f>
        <v>0</v>
      </c>
      <c r="DJ52">
        <f>EtalonRes!AB47</f>
        <v>0</v>
      </c>
      <c r="DK52" t="e">
        <f>Source!BA47</f>
        <v>#REF!</v>
      </c>
      <c r="DL52" t="s">
        <v>6</v>
      </c>
      <c r="DM52">
        <v>0</v>
      </c>
      <c r="DN52" t="s">
        <v>6</v>
      </c>
      <c r="DO52">
        <v>0</v>
      </c>
      <c r="GQ52">
        <v>-1</v>
      </c>
      <c r="GR52">
        <v>-1</v>
      </c>
    </row>
    <row r="53" spans="1:200" x14ac:dyDescent="0.2">
      <c r="A53">
        <f>ROW(Source!A47)</f>
        <v>47</v>
      </c>
      <c r="B53">
        <v>67643165</v>
      </c>
      <c r="C53">
        <v>67660324</v>
      </c>
      <c r="D53">
        <v>49672573</v>
      </c>
      <c r="E53">
        <v>1</v>
      </c>
      <c r="F53">
        <v>1</v>
      </c>
      <c r="G53">
        <v>1</v>
      </c>
      <c r="H53">
        <v>2</v>
      </c>
      <c r="I53" t="s">
        <v>361</v>
      </c>
      <c r="J53" t="s">
        <v>362</v>
      </c>
      <c r="K53" t="s">
        <v>363</v>
      </c>
      <c r="L53">
        <v>1367</v>
      </c>
      <c r="N53">
        <v>1011</v>
      </c>
      <c r="O53" t="s">
        <v>346</v>
      </c>
      <c r="P53" t="s">
        <v>346</v>
      </c>
      <c r="Q53">
        <v>1</v>
      </c>
      <c r="W53">
        <v>0</v>
      </c>
      <c r="X53">
        <v>-430484415</v>
      </c>
      <c r="Y53">
        <f t="shared" si="13"/>
        <v>10.54</v>
      </c>
      <c r="AA53">
        <v>0</v>
      </c>
      <c r="AB53">
        <v>1530.2</v>
      </c>
      <c r="AC53">
        <v>450.77</v>
      </c>
      <c r="AD53">
        <v>0</v>
      </c>
      <c r="AE53">
        <v>0</v>
      </c>
      <c r="AF53">
        <v>115.4</v>
      </c>
      <c r="AG53">
        <v>13.5</v>
      </c>
      <c r="AH53">
        <v>0</v>
      </c>
      <c r="AI53">
        <v>1</v>
      </c>
      <c r="AJ53">
        <v>13.26</v>
      </c>
      <c r="AK53">
        <v>33.39</v>
      </c>
      <c r="AL53">
        <v>1</v>
      </c>
      <c r="AM53">
        <v>4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6</v>
      </c>
      <c r="AT53">
        <v>10.54</v>
      </c>
      <c r="AU53" t="s">
        <v>6</v>
      </c>
      <c r="AV53">
        <v>0</v>
      </c>
      <c r="AW53">
        <v>2</v>
      </c>
      <c r="AX53">
        <v>67660351</v>
      </c>
      <c r="AY53">
        <v>1</v>
      </c>
      <c r="AZ53">
        <v>0</v>
      </c>
      <c r="BA53">
        <v>48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f>ROUND(Y53*Source!I47*DO53,7)</f>
        <v>0</v>
      </c>
      <c r="CX53">
        <f>ROUND(Y53*Source!I47,7)</f>
        <v>3.5836000000000001</v>
      </c>
      <c r="CY53">
        <f>AB53</f>
        <v>1530.2</v>
      </c>
      <c r="CZ53">
        <f>AF53</f>
        <v>115.4</v>
      </c>
      <c r="DA53">
        <f>AJ53</f>
        <v>13.26</v>
      </c>
      <c r="DB53">
        <f t="shared" si="14"/>
        <v>1216.32</v>
      </c>
      <c r="DC53">
        <f t="shared" si="15"/>
        <v>142.29</v>
      </c>
      <c r="DD53" t="s">
        <v>6</v>
      </c>
      <c r="DE53" t="s">
        <v>6</v>
      </c>
      <c r="DF53">
        <f>ROUND(ROUND(AE53,2)*CX53,2)</f>
        <v>0</v>
      </c>
      <c r="DG53">
        <f>ROUND(ROUND(AF53*AJ53,2)*CX53,2)</f>
        <v>5483.62</v>
      </c>
      <c r="DH53">
        <f>Source!I47*SmtRes!Y53</f>
        <v>3.5836000000000001</v>
      </c>
      <c r="DI53">
        <f>AB53</f>
        <v>1530.2</v>
      </c>
      <c r="DJ53">
        <f>EtalonRes!Z48</f>
        <v>115.4</v>
      </c>
      <c r="DK53" t="e">
        <f>Source!BB47</f>
        <v>#REF!</v>
      </c>
      <c r="DL53" t="s">
        <v>6</v>
      </c>
      <c r="DM53">
        <v>0</v>
      </c>
      <c r="DN53" t="s">
        <v>6</v>
      </c>
      <c r="DO53">
        <v>0</v>
      </c>
      <c r="GQ53">
        <v>-1</v>
      </c>
      <c r="GR53">
        <v>-1</v>
      </c>
    </row>
    <row r="54" spans="1:200" x14ac:dyDescent="0.2">
      <c r="A54">
        <f>ROW(Source!A47)</f>
        <v>47</v>
      </c>
      <c r="B54">
        <v>67643165</v>
      </c>
      <c r="C54">
        <v>67660324</v>
      </c>
      <c r="D54">
        <v>49672974</v>
      </c>
      <c r="E54">
        <v>1</v>
      </c>
      <c r="F54">
        <v>1</v>
      </c>
      <c r="G54">
        <v>1</v>
      </c>
      <c r="H54">
        <v>2</v>
      </c>
      <c r="I54" t="s">
        <v>372</v>
      </c>
      <c r="J54" t="s">
        <v>373</v>
      </c>
      <c r="K54" t="s">
        <v>374</v>
      </c>
      <c r="L54">
        <v>1367</v>
      </c>
      <c r="N54">
        <v>1011</v>
      </c>
      <c r="O54" t="s">
        <v>346</v>
      </c>
      <c r="P54" t="s">
        <v>346</v>
      </c>
      <c r="Q54">
        <v>1</v>
      </c>
      <c r="W54">
        <v>0</v>
      </c>
      <c r="X54">
        <v>-1193409272</v>
      </c>
      <c r="Y54">
        <f t="shared" si="13"/>
        <v>0.61</v>
      </c>
      <c r="AA54">
        <v>0</v>
      </c>
      <c r="AB54">
        <v>397.8</v>
      </c>
      <c r="AC54">
        <v>0</v>
      </c>
      <c r="AD54">
        <v>0</v>
      </c>
      <c r="AE54">
        <v>0</v>
      </c>
      <c r="AF54">
        <v>30</v>
      </c>
      <c r="AG54">
        <v>0</v>
      </c>
      <c r="AH54">
        <v>0</v>
      </c>
      <c r="AI54">
        <v>1</v>
      </c>
      <c r="AJ54">
        <v>13.26</v>
      </c>
      <c r="AK54">
        <v>33.39</v>
      </c>
      <c r="AL54">
        <v>1</v>
      </c>
      <c r="AM54">
        <v>4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6</v>
      </c>
      <c r="AT54">
        <v>0.61</v>
      </c>
      <c r="AU54" t="s">
        <v>6</v>
      </c>
      <c r="AV54">
        <v>0</v>
      </c>
      <c r="AW54">
        <v>2</v>
      </c>
      <c r="AX54">
        <v>67660352</v>
      </c>
      <c r="AY54">
        <v>1</v>
      </c>
      <c r="AZ54">
        <v>0</v>
      </c>
      <c r="BA54">
        <v>49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f>ROUND(Y54*Source!I47*DO54,7)</f>
        <v>0</v>
      </c>
      <c r="CX54">
        <f>ROUND(Y54*Source!I47,7)</f>
        <v>0.2074</v>
      </c>
      <c r="CY54">
        <f>AB54</f>
        <v>397.8</v>
      </c>
      <c r="CZ54">
        <f>AF54</f>
        <v>30</v>
      </c>
      <c r="DA54">
        <f>AJ54</f>
        <v>13.26</v>
      </c>
      <c r="DB54">
        <f t="shared" si="14"/>
        <v>18.3</v>
      </c>
      <c r="DC54">
        <f t="shared" si="15"/>
        <v>0</v>
      </c>
      <c r="DD54" t="s">
        <v>6</v>
      </c>
      <c r="DE54" t="s">
        <v>6</v>
      </c>
      <c r="DF54">
        <f>ROUND(ROUND(AE54,2)*CX54,2)</f>
        <v>0</v>
      </c>
      <c r="DG54">
        <f>ROUND(ROUND(AF54*AJ54,2)*CX54,2)</f>
        <v>82.5</v>
      </c>
      <c r="DH54">
        <f>Source!I47*SmtRes!Y54</f>
        <v>0.2074</v>
      </c>
      <c r="DI54">
        <f>AB54</f>
        <v>397.8</v>
      </c>
      <c r="DJ54">
        <f>EtalonRes!Z49</f>
        <v>30</v>
      </c>
      <c r="DK54" t="e">
        <f>Source!BB47</f>
        <v>#REF!</v>
      </c>
      <c r="DL54" t="s">
        <v>6</v>
      </c>
      <c r="DM54">
        <v>0</v>
      </c>
      <c r="DN54" t="s">
        <v>6</v>
      </c>
      <c r="DO54">
        <v>0</v>
      </c>
      <c r="GQ54">
        <v>-1</v>
      </c>
      <c r="GR54">
        <v>-1</v>
      </c>
    </row>
    <row r="55" spans="1:200" x14ac:dyDescent="0.2">
      <c r="A55">
        <f>ROW(Source!A47)</f>
        <v>47</v>
      </c>
      <c r="B55">
        <v>67643165</v>
      </c>
      <c r="C55">
        <v>67660324</v>
      </c>
      <c r="D55">
        <v>49673503</v>
      </c>
      <c r="E55">
        <v>1</v>
      </c>
      <c r="F55">
        <v>1</v>
      </c>
      <c r="G55">
        <v>1</v>
      </c>
      <c r="H55">
        <v>2</v>
      </c>
      <c r="I55" t="s">
        <v>364</v>
      </c>
      <c r="J55" t="s">
        <v>365</v>
      </c>
      <c r="K55" t="s">
        <v>366</v>
      </c>
      <c r="L55">
        <v>1367</v>
      </c>
      <c r="N55">
        <v>1011</v>
      </c>
      <c r="O55" t="s">
        <v>346</v>
      </c>
      <c r="P55" t="s">
        <v>346</v>
      </c>
      <c r="Q55">
        <v>1</v>
      </c>
      <c r="W55">
        <v>0</v>
      </c>
      <c r="X55">
        <v>509054691</v>
      </c>
      <c r="Y55">
        <f t="shared" si="13"/>
        <v>5.91</v>
      </c>
      <c r="AA55">
        <v>0</v>
      </c>
      <c r="AB55">
        <v>871.31</v>
      </c>
      <c r="AC55">
        <v>387.32</v>
      </c>
      <c r="AD55">
        <v>0</v>
      </c>
      <c r="AE55">
        <v>0</v>
      </c>
      <c r="AF55">
        <v>65.709999999999994</v>
      </c>
      <c r="AG55">
        <v>11.6</v>
      </c>
      <c r="AH55">
        <v>0</v>
      </c>
      <c r="AI55">
        <v>1</v>
      </c>
      <c r="AJ55">
        <v>13.26</v>
      </c>
      <c r="AK55">
        <v>33.39</v>
      </c>
      <c r="AL55">
        <v>1</v>
      </c>
      <c r="AM55">
        <v>4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6</v>
      </c>
      <c r="AT55">
        <v>5.91</v>
      </c>
      <c r="AU55" t="s">
        <v>6</v>
      </c>
      <c r="AV55">
        <v>0</v>
      </c>
      <c r="AW55">
        <v>2</v>
      </c>
      <c r="AX55">
        <v>67660353</v>
      </c>
      <c r="AY55">
        <v>1</v>
      </c>
      <c r="AZ55">
        <v>0</v>
      </c>
      <c r="BA55">
        <v>50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f>ROUND(Y55*Source!I47*DO55,7)</f>
        <v>0</v>
      </c>
      <c r="CX55">
        <f>ROUND(Y55*Source!I47,7)</f>
        <v>2.0093999999999999</v>
      </c>
      <c r="CY55">
        <f>AB55</f>
        <v>871.31</v>
      </c>
      <c r="CZ55">
        <f>AF55</f>
        <v>65.709999999999994</v>
      </c>
      <c r="DA55">
        <f>AJ55</f>
        <v>13.26</v>
      </c>
      <c r="DB55">
        <f t="shared" si="14"/>
        <v>388.35</v>
      </c>
      <c r="DC55">
        <f t="shared" si="15"/>
        <v>68.56</v>
      </c>
      <c r="DD55" t="s">
        <v>6</v>
      </c>
      <c r="DE55" t="s">
        <v>6</v>
      </c>
      <c r="DF55">
        <f>ROUND(ROUND(AE55,2)*CX55,2)</f>
        <v>0</v>
      </c>
      <c r="DG55">
        <f>ROUND(ROUND(AF55*AJ55,2)*CX55,2)</f>
        <v>1750.81</v>
      </c>
      <c r="DH55">
        <f>Source!I47*SmtRes!Y55</f>
        <v>2.0094000000000003</v>
      </c>
      <c r="DI55">
        <f>AB55</f>
        <v>871.31</v>
      </c>
      <c r="DJ55">
        <f>EtalonRes!Z50</f>
        <v>65.709999999999994</v>
      </c>
      <c r="DK55" t="e">
        <f>Source!BB47</f>
        <v>#REF!</v>
      </c>
      <c r="DL55" t="s">
        <v>6</v>
      </c>
      <c r="DM55">
        <v>0</v>
      </c>
      <c r="DN55" t="s">
        <v>6</v>
      </c>
      <c r="DO55">
        <v>0</v>
      </c>
      <c r="GQ55">
        <v>-1</v>
      </c>
      <c r="GR55">
        <v>-1</v>
      </c>
    </row>
    <row r="56" spans="1:200" x14ac:dyDescent="0.2">
      <c r="A56">
        <f>ROW(Source!A47)</f>
        <v>47</v>
      </c>
      <c r="B56">
        <v>67643165</v>
      </c>
      <c r="C56">
        <v>67660324</v>
      </c>
      <c r="D56">
        <v>49521319</v>
      </c>
      <c r="E56">
        <v>1</v>
      </c>
      <c r="F56">
        <v>1</v>
      </c>
      <c r="G56">
        <v>1</v>
      </c>
      <c r="H56">
        <v>3</v>
      </c>
      <c r="I56" t="s">
        <v>375</v>
      </c>
      <c r="J56" t="s">
        <v>376</v>
      </c>
      <c r="K56" t="s">
        <v>377</v>
      </c>
      <c r="L56">
        <v>1348</v>
      </c>
      <c r="N56">
        <v>1009</v>
      </c>
      <c r="O56" t="s">
        <v>129</v>
      </c>
      <c r="P56" t="s">
        <v>129</v>
      </c>
      <c r="Q56">
        <v>1000</v>
      </c>
      <c r="W56">
        <v>0</v>
      </c>
      <c r="X56">
        <v>1182438716</v>
      </c>
      <c r="Y56" s="211">
        <f>'6.Ведомость_списания'!F57</f>
        <v>0.08</v>
      </c>
      <c r="AA56">
        <v>12600.04</v>
      </c>
      <c r="AB56">
        <v>0</v>
      </c>
      <c r="AC56">
        <v>0</v>
      </c>
      <c r="AD56">
        <v>0</v>
      </c>
      <c r="AE56">
        <v>1383.1</v>
      </c>
      <c r="AF56">
        <v>0</v>
      </c>
      <c r="AG56">
        <v>0</v>
      </c>
      <c r="AH56">
        <v>0</v>
      </c>
      <c r="AI56">
        <v>9.11</v>
      </c>
      <c r="AJ56">
        <v>1</v>
      </c>
      <c r="AK56">
        <v>1</v>
      </c>
      <c r="AL56">
        <v>1</v>
      </c>
      <c r="AM56">
        <v>4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6</v>
      </c>
      <c r="AT56">
        <v>0.08</v>
      </c>
      <c r="AU56" t="s">
        <v>6</v>
      </c>
      <c r="AV56">
        <v>0</v>
      </c>
      <c r="AW56">
        <v>2</v>
      </c>
      <c r="AX56">
        <v>67660354</v>
      </c>
      <c r="AY56">
        <v>1</v>
      </c>
      <c r="AZ56">
        <v>0</v>
      </c>
      <c r="BA56">
        <v>51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ROUND(Y56*Source!I47,7)</f>
        <v>2.7199999999999998E-2</v>
      </c>
      <c r="CY56">
        <f t="shared" ref="CY56:CY73" si="16">AA56</f>
        <v>12600.04</v>
      </c>
      <c r="CZ56">
        <f t="shared" ref="CZ56:CZ73" si="17">AE56</f>
        <v>1383.1</v>
      </c>
      <c r="DA56">
        <f t="shared" ref="DA56:DA73" si="18">AI56</f>
        <v>9.11</v>
      </c>
      <c r="DB56">
        <f t="shared" si="14"/>
        <v>110.65</v>
      </c>
      <c r="DC56">
        <f t="shared" si="15"/>
        <v>0</v>
      </c>
      <c r="DD56" t="s">
        <v>6</v>
      </c>
      <c r="DE56" t="s">
        <v>6</v>
      </c>
      <c r="DF56">
        <f t="shared" ref="DF56:DF73" si="19">ROUND(ROUND(AE56*AI56,2)*CX56,2)</f>
        <v>342.72</v>
      </c>
      <c r="DG56">
        <f t="shared" ref="DG56:DG75" si="20">ROUND(ROUND(AF56,2)*CX56,2)</f>
        <v>0</v>
      </c>
      <c r="DH56">
        <f>Source!I47*SmtRes!Y56</f>
        <v>2.7200000000000002E-2</v>
      </c>
      <c r="DI56">
        <f t="shared" ref="DI56:DI73" si="21">AA56</f>
        <v>12600.04</v>
      </c>
      <c r="DJ56">
        <f>EtalonRes!Y51</f>
        <v>1383.1</v>
      </c>
      <c r="DK56" t="e">
        <f>Source!BC47</f>
        <v>#REF!</v>
      </c>
      <c r="DL56" t="s">
        <v>6</v>
      </c>
      <c r="DM56">
        <v>0</v>
      </c>
      <c r="DN56" t="s">
        <v>6</v>
      </c>
      <c r="DO56">
        <v>0</v>
      </c>
      <c r="GQ56">
        <v>-1</v>
      </c>
      <c r="GR56">
        <v>-1</v>
      </c>
    </row>
    <row r="57" spans="1:200" x14ac:dyDescent="0.2">
      <c r="A57">
        <f>ROW(Source!A47)</f>
        <v>47</v>
      </c>
      <c r="B57">
        <v>67643165</v>
      </c>
      <c r="C57">
        <v>67660324</v>
      </c>
      <c r="D57">
        <v>49521570</v>
      </c>
      <c r="E57">
        <v>1</v>
      </c>
      <c r="F57">
        <v>1</v>
      </c>
      <c r="G57">
        <v>1</v>
      </c>
      <c r="H57">
        <v>3</v>
      </c>
      <c r="I57" t="s">
        <v>378</v>
      </c>
      <c r="J57" t="s">
        <v>379</v>
      </c>
      <c r="K57" t="s">
        <v>380</v>
      </c>
      <c r="L57">
        <v>1348</v>
      </c>
      <c r="N57">
        <v>1009</v>
      </c>
      <c r="O57" t="s">
        <v>129</v>
      </c>
      <c r="P57" t="s">
        <v>129</v>
      </c>
      <c r="Q57">
        <v>1000</v>
      </c>
      <c r="W57">
        <v>0</v>
      </c>
      <c r="X57">
        <v>1557593705</v>
      </c>
      <c r="Y57" s="211">
        <f>'6.Ведомость_списания'!F58</f>
        <v>1.4999999999999999E-2</v>
      </c>
      <c r="AA57">
        <v>36819.89</v>
      </c>
      <c r="AB57">
        <v>0</v>
      </c>
      <c r="AC57">
        <v>0</v>
      </c>
      <c r="AD57">
        <v>0</v>
      </c>
      <c r="AE57">
        <v>4041.7</v>
      </c>
      <c r="AF57">
        <v>0</v>
      </c>
      <c r="AG57">
        <v>0</v>
      </c>
      <c r="AH57">
        <v>0</v>
      </c>
      <c r="AI57">
        <v>9.11</v>
      </c>
      <c r="AJ57">
        <v>1</v>
      </c>
      <c r="AK57">
        <v>1</v>
      </c>
      <c r="AL57">
        <v>1</v>
      </c>
      <c r="AM57">
        <v>4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6</v>
      </c>
      <c r="AT57">
        <v>1.4999999999999999E-2</v>
      </c>
      <c r="AU57" t="s">
        <v>6</v>
      </c>
      <c r="AV57">
        <v>0</v>
      </c>
      <c r="AW57">
        <v>2</v>
      </c>
      <c r="AX57">
        <v>67660355</v>
      </c>
      <c r="AY57">
        <v>1</v>
      </c>
      <c r="AZ57">
        <v>0</v>
      </c>
      <c r="BA57">
        <v>52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ROUND(Y57*Source!I47,7)</f>
        <v>5.1000000000000004E-3</v>
      </c>
      <c r="CY57">
        <f t="shared" si="16"/>
        <v>36819.89</v>
      </c>
      <c r="CZ57">
        <f t="shared" si="17"/>
        <v>4041.7</v>
      </c>
      <c r="DA57">
        <f t="shared" si="18"/>
        <v>9.11</v>
      </c>
      <c r="DB57">
        <f t="shared" si="14"/>
        <v>60.63</v>
      </c>
      <c r="DC57">
        <f t="shared" si="15"/>
        <v>0</v>
      </c>
      <c r="DD57" t="s">
        <v>6</v>
      </c>
      <c r="DE57" t="s">
        <v>6</v>
      </c>
      <c r="DF57">
        <f t="shared" si="19"/>
        <v>187.78</v>
      </c>
      <c r="DG57">
        <f t="shared" si="20"/>
        <v>0</v>
      </c>
      <c r="DH57">
        <f>Source!I47*SmtRes!Y57</f>
        <v>5.1000000000000004E-3</v>
      </c>
      <c r="DI57">
        <f t="shared" si="21"/>
        <v>36819.89</v>
      </c>
      <c r="DJ57">
        <f>EtalonRes!Y52</f>
        <v>4041.7</v>
      </c>
      <c r="DK57" t="e">
        <f>Source!BC47</f>
        <v>#REF!</v>
      </c>
      <c r="DL57" t="s">
        <v>6</v>
      </c>
      <c r="DM57">
        <v>0</v>
      </c>
      <c r="DN57" t="s">
        <v>6</v>
      </c>
      <c r="DO57">
        <v>0</v>
      </c>
      <c r="GQ57">
        <v>-1</v>
      </c>
      <c r="GR57">
        <v>-1</v>
      </c>
    </row>
    <row r="58" spans="1:200" x14ac:dyDescent="0.2">
      <c r="A58">
        <f>ROW(Source!A47)</f>
        <v>47</v>
      </c>
      <c r="B58">
        <v>67643165</v>
      </c>
      <c r="C58">
        <v>67660324</v>
      </c>
      <c r="D58">
        <v>49523843</v>
      </c>
      <c r="E58">
        <v>1</v>
      </c>
      <c r="F58">
        <v>1</v>
      </c>
      <c r="G58">
        <v>1</v>
      </c>
      <c r="H58">
        <v>3</v>
      </c>
      <c r="I58" t="s">
        <v>381</v>
      </c>
      <c r="J58" t="s">
        <v>382</v>
      </c>
      <c r="K58" t="s">
        <v>383</v>
      </c>
      <c r="L58">
        <v>1348</v>
      </c>
      <c r="N58">
        <v>1009</v>
      </c>
      <c r="O58" t="s">
        <v>129</v>
      </c>
      <c r="P58" t="s">
        <v>129</v>
      </c>
      <c r="Q58">
        <v>1000</v>
      </c>
      <c r="W58">
        <v>0</v>
      </c>
      <c r="X58">
        <v>1511150967</v>
      </c>
      <c r="Y58" s="211">
        <f>'6.Ведомость_списания'!F59</f>
        <v>0.06</v>
      </c>
      <c r="AA58">
        <v>273573.3</v>
      </c>
      <c r="AB58">
        <v>0</v>
      </c>
      <c r="AC58">
        <v>0</v>
      </c>
      <c r="AD58">
        <v>0</v>
      </c>
      <c r="AE58">
        <v>30030</v>
      </c>
      <c r="AF58">
        <v>0</v>
      </c>
      <c r="AG58">
        <v>0</v>
      </c>
      <c r="AH58">
        <v>0</v>
      </c>
      <c r="AI58">
        <v>9.11</v>
      </c>
      <c r="AJ58">
        <v>1</v>
      </c>
      <c r="AK58">
        <v>1</v>
      </c>
      <c r="AL58">
        <v>1</v>
      </c>
      <c r="AM58">
        <v>4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6</v>
      </c>
      <c r="AT58">
        <v>0.06</v>
      </c>
      <c r="AU58" t="s">
        <v>6</v>
      </c>
      <c r="AV58">
        <v>0</v>
      </c>
      <c r="AW58">
        <v>2</v>
      </c>
      <c r="AX58">
        <v>67660356</v>
      </c>
      <c r="AY58">
        <v>1</v>
      </c>
      <c r="AZ58">
        <v>0</v>
      </c>
      <c r="BA58">
        <v>53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V58">
        <v>0</v>
      </c>
      <c r="CW58">
        <v>0</v>
      </c>
      <c r="CX58">
        <f>ROUND(Y58*Source!I47,7)</f>
        <v>2.0400000000000001E-2</v>
      </c>
      <c r="CY58">
        <f t="shared" si="16"/>
        <v>273573.3</v>
      </c>
      <c r="CZ58">
        <f t="shared" si="17"/>
        <v>30030</v>
      </c>
      <c r="DA58">
        <f t="shared" si="18"/>
        <v>9.11</v>
      </c>
      <c r="DB58">
        <f t="shared" si="14"/>
        <v>1801.8</v>
      </c>
      <c r="DC58">
        <f t="shared" si="15"/>
        <v>0</v>
      </c>
      <c r="DD58" t="s">
        <v>6</v>
      </c>
      <c r="DE58" t="s">
        <v>6</v>
      </c>
      <c r="DF58">
        <f t="shared" si="19"/>
        <v>5580.9</v>
      </c>
      <c r="DG58">
        <f t="shared" si="20"/>
        <v>0</v>
      </c>
      <c r="DH58">
        <f>Source!I47*SmtRes!Y58</f>
        <v>2.0400000000000001E-2</v>
      </c>
      <c r="DI58">
        <f t="shared" si="21"/>
        <v>273573.3</v>
      </c>
      <c r="DJ58">
        <f>EtalonRes!Y53</f>
        <v>30030</v>
      </c>
      <c r="DK58" t="e">
        <f>Source!BC47</f>
        <v>#REF!</v>
      </c>
      <c r="DL58" t="s">
        <v>6</v>
      </c>
      <c r="DM58">
        <v>0</v>
      </c>
      <c r="DN58" t="s">
        <v>6</v>
      </c>
      <c r="DO58">
        <v>0</v>
      </c>
      <c r="GQ58">
        <v>-1</v>
      </c>
      <c r="GR58">
        <v>-1</v>
      </c>
    </row>
    <row r="59" spans="1:200" x14ac:dyDescent="0.2">
      <c r="A59">
        <f>ROW(Source!A47)</f>
        <v>47</v>
      </c>
      <c r="B59">
        <v>67643165</v>
      </c>
      <c r="C59">
        <v>67660324</v>
      </c>
      <c r="D59">
        <v>49526056</v>
      </c>
      <c r="E59">
        <v>1</v>
      </c>
      <c r="F59">
        <v>1</v>
      </c>
      <c r="G59">
        <v>1</v>
      </c>
      <c r="H59">
        <v>3</v>
      </c>
      <c r="I59" t="s">
        <v>384</v>
      </c>
      <c r="J59" t="s">
        <v>385</v>
      </c>
      <c r="K59" t="s">
        <v>386</v>
      </c>
      <c r="L59">
        <v>1348</v>
      </c>
      <c r="N59">
        <v>1009</v>
      </c>
      <c r="O59" t="s">
        <v>129</v>
      </c>
      <c r="P59" t="s">
        <v>129</v>
      </c>
      <c r="Q59">
        <v>1000</v>
      </c>
      <c r="W59">
        <v>0</v>
      </c>
      <c r="X59">
        <v>-2023495432</v>
      </c>
      <c r="Y59" s="211">
        <f>'6.Ведомость_списания'!F60</f>
        <v>1.9E-2</v>
      </c>
      <c r="AA59">
        <v>35877</v>
      </c>
      <c r="AB59">
        <v>0</v>
      </c>
      <c r="AC59">
        <v>0</v>
      </c>
      <c r="AD59">
        <v>0</v>
      </c>
      <c r="AE59">
        <v>3938.2</v>
      </c>
      <c r="AF59">
        <v>0</v>
      </c>
      <c r="AG59">
        <v>0</v>
      </c>
      <c r="AH59">
        <v>0</v>
      </c>
      <c r="AI59">
        <v>9.11</v>
      </c>
      <c r="AJ59">
        <v>1</v>
      </c>
      <c r="AK59">
        <v>1</v>
      </c>
      <c r="AL59">
        <v>1</v>
      </c>
      <c r="AM59">
        <v>4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6</v>
      </c>
      <c r="AT59">
        <v>1.9E-2</v>
      </c>
      <c r="AU59" t="s">
        <v>6</v>
      </c>
      <c r="AV59">
        <v>0</v>
      </c>
      <c r="AW59">
        <v>2</v>
      </c>
      <c r="AX59">
        <v>67660357</v>
      </c>
      <c r="AY59">
        <v>1</v>
      </c>
      <c r="AZ59">
        <v>0</v>
      </c>
      <c r="BA59">
        <v>54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ROUND(Y59*Source!I47,7)</f>
        <v>6.4599999999999996E-3</v>
      </c>
      <c r="CY59">
        <f t="shared" si="16"/>
        <v>35877</v>
      </c>
      <c r="CZ59">
        <f t="shared" si="17"/>
        <v>3938.2</v>
      </c>
      <c r="DA59">
        <f t="shared" si="18"/>
        <v>9.11</v>
      </c>
      <c r="DB59">
        <f t="shared" si="14"/>
        <v>74.83</v>
      </c>
      <c r="DC59">
        <f t="shared" si="15"/>
        <v>0</v>
      </c>
      <c r="DD59" t="s">
        <v>6</v>
      </c>
      <c r="DE59" t="s">
        <v>6</v>
      </c>
      <c r="DF59">
        <f t="shared" si="19"/>
        <v>231.77</v>
      </c>
      <c r="DG59">
        <f t="shared" si="20"/>
        <v>0</v>
      </c>
      <c r="DH59">
        <f>Source!I47*SmtRes!Y59</f>
        <v>6.4600000000000005E-3</v>
      </c>
      <c r="DI59">
        <f t="shared" si="21"/>
        <v>35877</v>
      </c>
      <c r="DJ59">
        <f>EtalonRes!Y54</f>
        <v>3938.2</v>
      </c>
      <c r="DK59" t="e">
        <f>Source!BC47</f>
        <v>#REF!</v>
      </c>
      <c r="DL59" t="s">
        <v>6</v>
      </c>
      <c r="DM59">
        <v>0</v>
      </c>
      <c r="DN59" t="s">
        <v>6</v>
      </c>
      <c r="DO59">
        <v>0</v>
      </c>
      <c r="GQ59">
        <v>-1</v>
      </c>
      <c r="GR59">
        <v>-1</v>
      </c>
    </row>
    <row r="60" spans="1:200" x14ac:dyDescent="0.2">
      <c r="A60">
        <f>ROW(Source!A47)</f>
        <v>47</v>
      </c>
      <c r="B60">
        <v>67643165</v>
      </c>
      <c r="C60">
        <v>67660324</v>
      </c>
      <c r="D60">
        <v>49527747</v>
      </c>
      <c r="E60">
        <v>1</v>
      </c>
      <c r="F60">
        <v>1</v>
      </c>
      <c r="G60">
        <v>1</v>
      </c>
      <c r="H60">
        <v>3</v>
      </c>
      <c r="I60" t="s">
        <v>387</v>
      </c>
      <c r="J60" t="s">
        <v>388</v>
      </c>
      <c r="K60" t="s">
        <v>389</v>
      </c>
      <c r="L60">
        <v>1348</v>
      </c>
      <c r="N60">
        <v>1009</v>
      </c>
      <c r="O60" t="s">
        <v>129</v>
      </c>
      <c r="P60" t="s">
        <v>129</v>
      </c>
      <c r="Q60">
        <v>1000</v>
      </c>
      <c r="W60">
        <v>0</v>
      </c>
      <c r="X60">
        <v>-1212497377</v>
      </c>
      <c r="Y60" s="211">
        <f>'6.Ведомость_списания'!F61</f>
        <v>7.0000000000000001E-3</v>
      </c>
      <c r="AA60">
        <v>3753.32</v>
      </c>
      <c r="AB60">
        <v>0</v>
      </c>
      <c r="AC60">
        <v>0</v>
      </c>
      <c r="AD60">
        <v>0</v>
      </c>
      <c r="AE60">
        <v>412</v>
      </c>
      <c r="AF60">
        <v>0</v>
      </c>
      <c r="AG60">
        <v>0</v>
      </c>
      <c r="AH60">
        <v>0</v>
      </c>
      <c r="AI60">
        <v>9.11</v>
      </c>
      <c r="AJ60">
        <v>1</v>
      </c>
      <c r="AK60">
        <v>1</v>
      </c>
      <c r="AL60">
        <v>1</v>
      </c>
      <c r="AM60">
        <v>4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6</v>
      </c>
      <c r="AT60">
        <v>7.0000000000000001E-3</v>
      </c>
      <c r="AU60" t="s">
        <v>6</v>
      </c>
      <c r="AV60">
        <v>0</v>
      </c>
      <c r="AW60">
        <v>2</v>
      </c>
      <c r="AX60">
        <v>67660358</v>
      </c>
      <c r="AY60">
        <v>1</v>
      </c>
      <c r="AZ60">
        <v>0</v>
      </c>
      <c r="BA60">
        <v>55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ROUND(Y60*Source!I47,7)</f>
        <v>2.3800000000000002E-3</v>
      </c>
      <c r="CY60">
        <f t="shared" si="16"/>
        <v>3753.32</v>
      </c>
      <c r="CZ60">
        <f t="shared" si="17"/>
        <v>412</v>
      </c>
      <c r="DA60">
        <f t="shared" si="18"/>
        <v>9.11</v>
      </c>
      <c r="DB60">
        <f t="shared" si="14"/>
        <v>2.88</v>
      </c>
      <c r="DC60">
        <f t="shared" si="15"/>
        <v>0</v>
      </c>
      <c r="DD60" t="s">
        <v>6</v>
      </c>
      <c r="DE60" t="s">
        <v>6</v>
      </c>
      <c r="DF60">
        <f t="shared" si="19"/>
        <v>8.93</v>
      </c>
      <c r="DG60">
        <f t="shared" si="20"/>
        <v>0</v>
      </c>
      <c r="DH60">
        <f>Source!I47*SmtRes!Y60</f>
        <v>2.3800000000000002E-3</v>
      </c>
      <c r="DI60">
        <f t="shared" si="21"/>
        <v>3753.32</v>
      </c>
      <c r="DJ60">
        <f>EtalonRes!Y55</f>
        <v>412</v>
      </c>
      <c r="DK60" t="e">
        <f>Source!BC47</f>
        <v>#REF!</v>
      </c>
      <c r="DL60" t="s">
        <v>6</v>
      </c>
      <c r="DM60">
        <v>0</v>
      </c>
      <c r="DN60" t="s">
        <v>6</v>
      </c>
      <c r="DO60">
        <v>0</v>
      </c>
      <c r="GQ60">
        <v>-1</v>
      </c>
      <c r="GR60">
        <v>-1</v>
      </c>
    </row>
    <row r="61" spans="1:200" x14ac:dyDescent="0.2">
      <c r="A61">
        <f>ROW(Source!A47)</f>
        <v>47</v>
      </c>
      <c r="B61">
        <v>67643165</v>
      </c>
      <c r="C61">
        <v>67660324</v>
      </c>
      <c r="D61">
        <v>49528283</v>
      </c>
      <c r="E61">
        <v>1</v>
      </c>
      <c r="F61">
        <v>1</v>
      </c>
      <c r="G61">
        <v>1</v>
      </c>
      <c r="H61">
        <v>3</v>
      </c>
      <c r="I61" t="s">
        <v>390</v>
      </c>
      <c r="J61" t="s">
        <v>391</v>
      </c>
      <c r="K61" t="s">
        <v>392</v>
      </c>
      <c r="L61">
        <v>1339</v>
      </c>
      <c r="N61">
        <v>1007</v>
      </c>
      <c r="O61" t="s">
        <v>33</v>
      </c>
      <c r="P61" t="s">
        <v>33</v>
      </c>
      <c r="Q61">
        <v>1</v>
      </c>
      <c r="W61">
        <v>0</v>
      </c>
      <c r="X61">
        <v>1709400143</v>
      </c>
      <c r="Y61" s="211">
        <f>'6.Ведомость_списания'!F62</f>
        <v>1.01</v>
      </c>
      <c r="AA61">
        <v>4970.42</v>
      </c>
      <c r="AB61">
        <v>0</v>
      </c>
      <c r="AC61">
        <v>0</v>
      </c>
      <c r="AD61">
        <v>0</v>
      </c>
      <c r="AE61">
        <v>545.6</v>
      </c>
      <c r="AF61">
        <v>0</v>
      </c>
      <c r="AG61">
        <v>0</v>
      </c>
      <c r="AH61">
        <v>0</v>
      </c>
      <c r="AI61">
        <v>9.11</v>
      </c>
      <c r="AJ61">
        <v>1</v>
      </c>
      <c r="AK61">
        <v>1</v>
      </c>
      <c r="AL61">
        <v>1</v>
      </c>
      <c r="AM61">
        <v>4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6</v>
      </c>
      <c r="AT61">
        <v>1.01</v>
      </c>
      <c r="AU61" t="s">
        <v>6</v>
      </c>
      <c r="AV61">
        <v>0</v>
      </c>
      <c r="AW61">
        <v>2</v>
      </c>
      <c r="AX61">
        <v>67660359</v>
      </c>
      <c r="AY61">
        <v>1</v>
      </c>
      <c r="AZ61">
        <v>0</v>
      </c>
      <c r="BA61">
        <v>56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ROUND(Y61*Source!I47,7)</f>
        <v>0.34339999999999998</v>
      </c>
      <c r="CY61">
        <f t="shared" si="16"/>
        <v>4970.42</v>
      </c>
      <c r="CZ61">
        <f t="shared" si="17"/>
        <v>545.6</v>
      </c>
      <c r="DA61">
        <f t="shared" si="18"/>
        <v>9.11</v>
      </c>
      <c r="DB61">
        <f t="shared" si="14"/>
        <v>551.05999999999995</v>
      </c>
      <c r="DC61">
        <f t="shared" si="15"/>
        <v>0</v>
      </c>
      <c r="DD61" t="s">
        <v>6</v>
      </c>
      <c r="DE61" t="s">
        <v>6</v>
      </c>
      <c r="DF61">
        <f t="shared" si="19"/>
        <v>1706.84</v>
      </c>
      <c r="DG61">
        <f t="shared" si="20"/>
        <v>0</v>
      </c>
      <c r="DH61">
        <f>Source!I47*SmtRes!Y61</f>
        <v>0.34340000000000004</v>
      </c>
      <c r="DI61">
        <f t="shared" si="21"/>
        <v>4970.42</v>
      </c>
      <c r="DJ61">
        <f>EtalonRes!Y56</f>
        <v>545.6</v>
      </c>
      <c r="DK61" t="e">
        <f>Source!BC47</f>
        <v>#REF!</v>
      </c>
      <c r="DL61" t="s">
        <v>6</v>
      </c>
      <c r="DM61">
        <v>0</v>
      </c>
      <c r="DN61" t="s">
        <v>6</v>
      </c>
      <c r="DO61">
        <v>0</v>
      </c>
      <c r="GQ61">
        <v>-1</v>
      </c>
      <c r="GR61">
        <v>-1</v>
      </c>
    </row>
    <row r="62" spans="1:200" x14ac:dyDescent="0.2">
      <c r="A62">
        <f>ROW(Source!A47)</f>
        <v>47</v>
      </c>
      <c r="B62">
        <v>67643165</v>
      </c>
      <c r="C62">
        <v>67660324</v>
      </c>
      <c r="D62">
        <v>49528288</v>
      </c>
      <c r="E62">
        <v>1</v>
      </c>
      <c r="F62">
        <v>1</v>
      </c>
      <c r="G62">
        <v>1</v>
      </c>
      <c r="H62">
        <v>3</v>
      </c>
      <c r="I62" t="s">
        <v>102</v>
      </c>
      <c r="J62" t="s">
        <v>104</v>
      </c>
      <c r="K62" t="s">
        <v>103</v>
      </c>
      <c r="L62">
        <v>1339</v>
      </c>
      <c r="N62">
        <v>1007</v>
      </c>
      <c r="O62" t="s">
        <v>33</v>
      </c>
      <c r="P62" t="s">
        <v>33</v>
      </c>
      <c r="Q62">
        <v>1</v>
      </c>
      <c r="W62">
        <v>1</v>
      </c>
      <c r="X62">
        <v>2039656126</v>
      </c>
      <c r="Y62">
        <f t="shared" si="13"/>
        <v>-5.2</v>
      </c>
      <c r="AA62">
        <v>5400.04</v>
      </c>
      <c r="AB62">
        <v>0</v>
      </c>
      <c r="AC62">
        <v>0</v>
      </c>
      <c r="AD62">
        <v>0</v>
      </c>
      <c r="AE62">
        <v>592.76</v>
      </c>
      <c r="AF62">
        <v>0</v>
      </c>
      <c r="AG62">
        <v>0</v>
      </c>
      <c r="AH62">
        <v>0</v>
      </c>
      <c r="AI62">
        <v>9.11</v>
      </c>
      <c r="AJ62">
        <v>1</v>
      </c>
      <c r="AK62">
        <v>1</v>
      </c>
      <c r="AL62">
        <v>1</v>
      </c>
      <c r="AM62">
        <v>4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6</v>
      </c>
      <c r="AT62">
        <v>-5.2</v>
      </c>
      <c r="AU62" t="s">
        <v>6</v>
      </c>
      <c r="AV62">
        <v>0</v>
      </c>
      <c r="AW62">
        <v>2</v>
      </c>
      <c r="AX62">
        <v>67660360</v>
      </c>
      <c r="AY62">
        <v>1</v>
      </c>
      <c r="AZ62">
        <v>6144</v>
      </c>
      <c r="BA62">
        <v>57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ROUND(Y62*Source!I47,7)</f>
        <v>-1.768</v>
      </c>
      <c r="CY62">
        <f t="shared" si="16"/>
        <v>5400.04</v>
      </c>
      <c r="CZ62">
        <f t="shared" si="17"/>
        <v>592.76</v>
      </c>
      <c r="DA62">
        <f t="shared" si="18"/>
        <v>9.11</v>
      </c>
      <c r="DB62">
        <f t="shared" si="14"/>
        <v>-3082.35</v>
      </c>
      <c r="DC62">
        <f t="shared" si="15"/>
        <v>0</v>
      </c>
      <c r="DD62" t="s">
        <v>6</v>
      </c>
      <c r="DE62" t="s">
        <v>6</v>
      </c>
      <c r="DF62">
        <f t="shared" si="19"/>
        <v>-9547.27</v>
      </c>
      <c r="DG62">
        <f t="shared" si="20"/>
        <v>0</v>
      </c>
      <c r="DH62">
        <f>Source!I47*SmtRes!Y62</f>
        <v>-1.7680000000000002</v>
      </c>
      <c r="DI62">
        <f t="shared" si="21"/>
        <v>5400.04</v>
      </c>
      <c r="DJ62">
        <f>EtalonRes!Y57</f>
        <v>592.76</v>
      </c>
      <c r="DK62" t="e">
        <f>Source!BC47</f>
        <v>#REF!</v>
      </c>
      <c r="DL62" t="s">
        <v>6</v>
      </c>
      <c r="DM62">
        <v>0</v>
      </c>
      <c r="DN62" t="s">
        <v>6</v>
      </c>
      <c r="DO62">
        <v>0</v>
      </c>
      <c r="GP62">
        <v>0</v>
      </c>
      <c r="GQ62">
        <v>-1</v>
      </c>
      <c r="GR62">
        <v>-1</v>
      </c>
    </row>
    <row r="63" spans="1:200" x14ac:dyDescent="0.2">
      <c r="A63">
        <f>ROW(Source!A47)</f>
        <v>47</v>
      </c>
      <c r="B63">
        <v>67643165</v>
      </c>
      <c r="C63">
        <v>67660324</v>
      </c>
      <c r="D63">
        <v>49528288</v>
      </c>
      <c r="E63">
        <v>1</v>
      </c>
      <c r="F63">
        <v>1</v>
      </c>
      <c r="G63">
        <v>1</v>
      </c>
      <c r="H63">
        <v>3</v>
      </c>
      <c r="I63" t="s">
        <v>102</v>
      </c>
      <c r="J63" t="s">
        <v>104</v>
      </c>
      <c r="K63" t="s">
        <v>103</v>
      </c>
      <c r="L63">
        <v>1339</v>
      </c>
      <c r="N63">
        <v>1007</v>
      </c>
      <c r="O63" t="s">
        <v>33</v>
      </c>
      <c r="P63" t="s">
        <v>33</v>
      </c>
      <c r="Q63">
        <v>1</v>
      </c>
      <c r="W63">
        <v>0</v>
      </c>
      <c r="X63">
        <v>2039656126</v>
      </c>
      <c r="Y63">
        <f t="shared" si="13"/>
        <v>5.2</v>
      </c>
      <c r="AA63">
        <v>5400.04</v>
      </c>
      <c r="AB63">
        <v>0</v>
      </c>
      <c r="AC63">
        <v>0</v>
      </c>
      <c r="AD63">
        <v>0</v>
      </c>
      <c r="AE63">
        <v>592.76</v>
      </c>
      <c r="AF63">
        <v>0</v>
      </c>
      <c r="AG63">
        <v>0</v>
      </c>
      <c r="AH63">
        <v>0</v>
      </c>
      <c r="AI63">
        <v>9.11</v>
      </c>
      <c r="AJ63">
        <v>1</v>
      </c>
      <c r="AK63">
        <v>1</v>
      </c>
      <c r="AL63">
        <v>1</v>
      </c>
      <c r="AM63">
        <v>0</v>
      </c>
      <c r="AN63">
        <v>0</v>
      </c>
      <c r="AO63">
        <v>0</v>
      </c>
      <c r="AP63">
        <v>1</v>
      </c>
      <c r="AQ63">
        <v>0</v>
      </c>
      <c r="AR63">
        <v>0</v>
      </c>
      <c r="AS63" t="s">
        <v>6</v>
      </c>
      <c r="AT63">
        <v>5.2</v>
      </c>
      <c r="AU63" t="s">
        <v>6</v>
      </c>
      <c r="AV63">
        <v>0</v>
      </c>
      <c r="AW63">
        <v>1</v>
      </c>
      <c r="AX63">
        <v>-1</v>
      </c>
      <c r="AY63">
        <v>0</v>
      </c>
      <c r="AZ63">
        <v>0</v>
      </c>
      <c r="BA63" t="s">
        <v>6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ROUND(Y63*Source!I47,7)</f>
        <v>1.768</v>
      </c>
      <c r="CY63">
        <f t="shared" si="16"/>
        <v>5400.04</v>
      </c>
      <c r="CZ63">
        <f t="shared" si="17"/>
        <v>592.76</v>
      </c>
      <c r="DA63">
        <f t="shared" si="18"/>
        <v>9.11</v>
      </c>
      <c r="DB63">
        <f t="shared" si="14"/>
        <v>3082.35</v>
      </c>
      <c r="DC63">
        <f t="shared" si="15"/>
        <v>0</v>
      </c>
      <c r="DD63" t="s">
        <v>6</v>
      </c>
      <c r="DE63" t="s">
        <v>6</v>
      </c>
      <c r="DF63">
        <f t="shared" si="19"/>
        <v>9547.27</v>
      </c>
      <c r="DG63">
        <f t="shared" si="20"/>
        <v>0</v>
      </c>
      <c r="DH63">
        <f>Source!I47*SmtRes!Y63</f>
        <v>1.7680000000000002</v>
      </c>
      <c r="DI63">
        <f t="shared" si="21"/>
        <v>5400.04</v>
      </c>
      <c r="DJ63">
        <f t="shared" ref="DJ63:DJ73" si="22">DF63</f>
        <v>9547.27</v>
      </c>
      <c r="DK63" t="e">
        <f>Source!BC47</f>
        <v>#REF!</v>
      </c>
      <c r="DL63" t="s">
        <v>6</v>
      </c>
      <c r="DM63">
        <v>0</v>
      </c>
      <c r="DN63" t="s">
        <v>6</v>
      </c>
      <c r="DO63">
        <v>0</v>
      </c>
      <c r="GP63">
        <v>1</v>
      </c>
      <c r="GQ63">
        <v>-1</v>
      </c>
      <c r="GR63">
        <v>-1</v>
      </c>
    </row>
    <row r="64" spans="1:200" x14ac:dyDescent="0.2">
      <c r="A64">
        <f>ROW(Source!A47)</f>
        <v>47</v>
      </c>
      <c r="B64">
        <v>67643165</v>
      </c>
      <c r="C64">
        <v>67660324</v>
      </c>
      <c r="D64">
        <v>49528386</v>
      </c>
      <c r="E64">
        <v>1</v>
      </c>
      <c r="F64">
        <v>1</v>
      </c>
      <c r="G64">
        <v>1</v>
      </c>
      <c r="H64">
        <v>3</v>
      </c>
      <c r="I64" t="s">
        <v>393</v>
      </c>
      <c r="J64" t="s">
        <v>394</v>
      </c>
      <c r="K64" t="s">
        <v>395</v>
      </c>
      <c r="L64">
        <v>1348</v>
      </c>
      <c r="N64">
        <v>1009</v>
      </c>
      <c r="O64" t="s">
        <v>129</v>
      </c>
      <c r="P64" t="s">
        <v>129</v>
      </c>
      <c r="Q64">
        <v>1000</v>
      </c>
      <c r="W64">
        <v>0</v>
      </c>
      <c r="X64">
        <v>1013174817</v>
      </c>
      <c r="Y64" s="211">
        <f>'6.Ведомость_списания'!F63</f>
        <v>0.19</v>
      </c>
      <c r="AA64">
        <v>4473.1000000000004</v>
      </c>
      <c r="AB64">
        <v>0</v>
      </c>
      <c r="AC64">
        <v>0</v>
      </c>
      <c r="AD64">
        <v>0</v>
      </c>
      <c r="AE64">
        <v>491.01</v>
      </c>
      <c r="AF64">
        <v>0</v>
      </c>
      <c r="AG64">
        <v>0</v>
      </c>
      <c r="AH64">
        <v>0</v>
      </c>
      <c r="AI64">
        <v>9.11</v>
      </c>
      <c r="AJ64">
        <v>1</v>
      </c>
      <c r="AK64">
        <v>1</v>
      </c>
      <c r="AL64">
        <v>1</v>
      </c>
      <c r="AM64">
        <v>4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6</v>
      </c>
      <c r="AT64">
        <v>0.19</v>
      </c>
      <c r="AU64" t="s">
        <v>6</v>
      </c>
      <c r="AV64">
        <v>0</v>
      </c>
      <c r="AW64">
        <v>2</v>
      </c>
      <c r="AX64">
        <v>67660361</v>
      </c>
      <c r="AY64">
        <v>1</v>
      </c>
      <c r="AZ64">
        <v>0</v>
      </c>
      <c r="BA64">
        <v>58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ROUND(Y64*Source!I47,7)</f>
        <v>6.4600000000000005E-2</v>
      </c>
      <c r="CY64">
        <f t="shared" si="16"/>
        <v>4473.1000000000004</v>
      </c>
      <c r="CZ64">
        <f t="shared" si="17"/>
        <v>491.01</v>
      </c>
      <c r="DA64">
        <f t="shared" si="18"/>
        <v>9.11</v>
      </c>
      <c r="DB64">
        <f t="shared" si="14"/>
        <v>93.29</v>
      </c>
      <c r="DC64">
        <f t="shared" si="15"/>
        <v>0</v>
      </c>
      <c r="DD64" t="s">
        <v>6</v>
      </c>
      <c r="DE64" t="s">
        <v>6</v>
      </c>
      <c r="DF64">
        <f t="shared" si="19"/>
        <v>288.95999999999998</v>
      </c>
      <c r="DG64">
        <f t="shared" si="20"/>
        <v>0</v>
      </c>
      <c r="DH64">
        <f>Source!I47*SmtRes!Y64</f>
        <v>6.4600000000000005E-2</v>
      </c>
      <c r="DI64">
        <f t="shared" si="21"/>
        <v>4473.1000000000004</v>
      </c>
      <c r="DJ64">
        <f>EtalonRes!Y58</f>
        <v>491.01</v>
      </c>
      <c r="DK64" t="e">
        <f>Source!BC47</f>
        <v>#REF!</v>
      </c>
      <c r="DL64" t="s">
        <v>6</v>
      </c>
      <c r="DM64">
        <v>0</v>
      </c>
      <c r="DN64" t="s">
        <v>6</v>
      </c>
      <c r="DO64">
        <v>0</v>
      </c>
      <c r="GQ64">
        <v>-1</v>
      </c>
      <c r="GR64">
        <v>-1</v>
      </c>
    </row>
    <row r="65" spans="1:200" x14ac:dyDescent="0.2">
      <c r="A65">
        <f>ROW(Source!A47)</f>
        <v>47</v>
      </c>
      <c r="B65">
        <v>67643165</v>
      </c>
      <c r="C65">
        <v>67660324</v>
      </c>
      <c r="D65">
        <v>49528500</v>
      </c>
      <c r="E65">
        <v>1</v>
      </c>
      <c r="F65">
        <v>1</v>
      </c>
      <c r="G65">
        <v>1</v>
      </c>
      <c r="H65">
        <v>3</v>
      </c>
      <c r="I65" t="s">
        <v>396</v>
      </c>
      <c r="J65" t="s">
        <v>397</v>
      </c>
      <c r="K65" t="s">
        <v>398</v>
      </c>
      <c r="L65">
        <v>1339</v>
      </c>
      <c r="N65">
        <v>1007</v>
      </c>
      <c r="O65" t="s">
        <v>33</v>
      </c>
      <c r="P65" t="s">
        <v>33</v>
      </c>
      <c r="Q65">
        <v>1</v>
      </c>
      <c r="W65">
        <v>0</v>
      </c>
      <c r="X65">
        <v>-969632993</v>
      </c>
      <c r="Y65" s="211">
        <f>'6.Ведомость_списания'!F64</f>
        <v>3.7999999999999999E-2</v>
      </c>
      <c r="AA65">
        <v>3598.45</v>
      </c>
      <c r="AB65">
        <v>0</v>
      </c>
      <c r="AC65">
        <v>0</v>
      </c>
      <c r="AD65">
        <v>0</v>
      </c>
      <c r="AE65">
        <v>395</v>
      </c>
      <c r="AF65">
        <v>0</v>
      </c>
      <c r="AG65">
        <v>0</v>
      </c>
      <c r="AH65">
        <v>0</v>
      </c>
      <c r="AI65">
        <v>9.11</v>
      </c>
      <c r="AJ65">
        <v>1</v>
      </c>
      <c r="AK65">
        <v>1</v>
      </c>
      <c r="AL65">
        <v>1</v>
      </c>
      <c r="AM65">
        <v>4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6</v>
      </c>
      <c r="AT65">
        <v>3.7999999999999999E-2</v>
      </c>
      <c r="AU65" t="s">
        <v>6</v>
      </c>
      <c r="AV65">
        <v>0</v>
      </c>
      <c r="AW65">
        <v>2</v>
      </c>
      <c r="AX65">
        <v>67660362</v>
      </c>
      <c r="AY65">
        <v>1</v>
      </c>
      <c r="AZ65">
        <v>0</v>
      </c>
      <c r="BA65">
        <v>59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ROUND(Y65*Source!I47,7)</f>
        <v>1.2919999999999999E-2</v>
      </c>
      <c r="CY65">
        <f t="shared" si="16"/>
        <v>3598.45</v>
      </c>
      <c r="CZ65">
        <f t="shared" si="17"/>
        <v>395</v>
      </c>
      <c r="DA65">
        <f t="shared" si="18"/>
        <v>9.11</v>
      </c>
      <c r="DB65">
        <f t="shared" si="14"/>
        <v>15.01</v>
      </c>
      <c r="DC65">
        <f t="shared" si="15"/>
        <v>0</v>
      </c>
      <c r="DD65" t="s">
        <v>6</v>
      </c>
      <c r="DE65" t="s">
        <v>6</v>
      </c>
      <c r="DF65">
        <f t="shared" si="19"/>
        <v>46.49</v>
      </c>
      <c r="DG65">
        <f t="shared" si="20"/>
        <v>0</v>
      </c>
      <c r="DH65">
        <f>Source!I47*SmtRes!Y65</f>
        <v>1.2920000000000001E-2</v>
      </c>
      <c r="DI65">
        <f t="shared" si="21"/>
        <v>3598.45</v>
      </c>
      <c r="DJ65">
        <f>EtalonRes!Y59</f>
        <v>395</v>
      </c>
      <c r="DK65" t="e">
        <f>Source!BC47</f>
        <v>#REF!</v>
      </c>
      <c r="DL65" t="s">
        <v>6</v>
      </c>
      <c r="DM65">
        <v>0</v>
      </c>
      <c r="DN65" t="s">
        <v>6</v>
      </c>
      <c r="DO65">
        <v>0</v>
      </c>
      <c r="GQ65">
        <v>-1</v>
      </c>
      <c r="GR65">
        <v>-1</v>
      </c>
    </row>
    <row r="66" spans="1:200" x14ac:dyDescent="0.2">
      <c r="A66">
        <f>ROW(Source!A47)</f>
        <v>47</v>
      </c>
      <c r="B66">
        <v>67643165</v>
      </c>
      <c r="C66">
        <v>67660324</v>
      </c>
      <c r="D66">
        <v>49528525</v>
      </c>
      <c r="E66">
        <v>1</v>
      </c>
      <c r="F66">
        <v>1</v>
      </c>
      <c r="G66">
        <v>1</v>
      </c>
      <c r="H66">
        <v>3</v>
      </c>
      <c r="I66" t="s">
        <v>399</v>
      </c>
      <c r="J66" t="s">
        <v>400</v>
      </c>
      <c r="K66" t="s">
        <v>401</v>
      </c>
      <c r="L66">
        <v>1339</v>
      </c>
      <c r="N66">
        <v>1007</v>
      </c>
      <c r="O66" t="s">
        <v>33</v>
      </c>
      <c r="P66" t="s">
        <v>33</v>
      </c>
      <c r="Q66">
        <v>1</v>
      </c>
      <c r="W66">
        <v>0</v>
      </c>
      <c r="X66">
        <v>810710044</v>
      </c>
      <c r="Y66" s="211">
        <f>'6.Ведомость_списания'!F65</f>
        <v>0.82</v>
      </c>
      <c r="AA66">
        <v>4426.55</v>
      </c>
      <c r="AB66">
        <v>0</v>
      </c>
      <c r="AC66">
        <v>0</v>
      </c>
      <c r="AD66">
        <v>0</v>
      </c>
      <c r="AE66">
        <v>485.9</v>
      </c>
      <c r="AF66">
        <v>0</v>
      </c>
      <c r="AG66">
        <v>0</v>
      </c>
      <c r="AH66">
        <v>0</v>
      </c>
      <c r="AI66">
        <v>9.11</v>
      </c>
      <c r="AJ66">
        <v>1</v>
      </c>
      <c r="AK66">
        <v>1</v>
      </c>
      <c r="AL66">
        <v>1</v>
      </c>
      <c r="AM66">
        <v>4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6</v>
      </c>
      <c r="AT66">
        <v>0.82</v>
      </c>
      <c r="AU66" t="s">
        <v>6</v>
      </c>
      <c r="AV66">
        <v>0</v>
      </c>
      <c r="AW66">
        <v>2</v>
      </c>
      <c r="AX66">
        <v>67660363</v>
      </c>
      <c r="AY66">
        <v>1</v>
      </c>
      <c r="AZ66">
        <v>0</v>
      </c>
      <c r="BA66">
        <v>60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v>0</v>
      </c>
      <c r="CX66">
        <f>ROUND(Y66*Source!I47,7)</f>
        <v>0.27879999999999999</v>
      </c>
      <c r="CY66">
        <f t="shared" si="16"/>
        <v>4426.55</v>
      </c>
      <c r="CZ66">
        <f t="shared" si="17"/>
        <v>485.9</v>
      </c>
      <c r="DA66">
        <f t="shared" si="18"/>
        <v>9.11</v>
      </c>
      <c r="DB66">
        <f t="shared" si="14"/>
        <v>398.44</v>
      </c>
      <c r="DC66">
        <f t="shared" si="15"/>
        <v>0</v>
      </c>
      <c r="DD66" t="s">
        <v>6</v>
      </c>
      <c r="DE66" t="s">
        <v>6</v>
      </c>
      <c r="DF66">
        <f t="shared" si="19"/>
        <v>1234.1199999999999</v>
      </c>
      <c r="DG66">
        <f t="shared" si="20"/>
        <v>0</v>
      </c>
      <c r="DH66">
        <f>Source!I47*SmtRes!Y66</f>
        <v>0.27879999999999999</v>
      </c>
      <c r="DI66">
        <f t="shared" si="21"/>
        <v>4426.55</v>
      </c>
      <c r="DJ66">
        <f>EtalonRes!Y60</f>
        <v>485.9</v>
      </c>
      <c r="DK66" t="e">
        <f>Source!BC47</f>
        <v>#REF!</v>
      </c>
      <c r="DL66" t="s">
        <v>6</v>
      </c>
      <c r="DM66">
        <v>0</v>
      </c>
      <c r="DN66" t="s">
        <v>6</v>
      </c>
      <c r="DO66">
        <v>0</v>
      </c>
      <c r="GQ66">
        <v>-1</v>
      </c>
      <c r="GR66">
        <v>-1</v>
      </c>
    </row>
    <row r="67" spans="1:200" x14ac:dyDescent="0.2">
      <c r="A67">
        <f>ROW(Source!A47)</f>
        <v>47</v>
      </c>
      <c r="B67">
        <v>67643165</v>
      </c>
      <c r="C67">
        <v>67660324</v>
      </c>
      <c r="D67">
        <v>49529457</v>
      </c>
      <c r="E67">
        <v>1</v>
      </c>
      <c r="F67">
        <v>1</v>
      </c>
      <c r="G67">
        <v>1</v>
      </c>
      <c r="H67">
        <v>3</v>
      </c>
      <c r="I67" t="s">
        <v>155</v>
      </c>
      <c r="J67" t="s">
        <v>157</v>
      </c>
      <c r="K67" t="s">
        <v>156</v>
      </c>
      <c r="L67">
        <v>1339</v>
      </c>
      <c r="N67">
        <v>1007</v>
      </c>
      <c r="O67" t="s">
        <v>33</v>
      </c>
      <c r="P67" t="s">
        <v>33</v>
      </c>
      <c r="Q67">
        <v>1</v>
      </c>
      <c r="W67">
        <v>0</v>
      </c>
      <c r="X67">
        <v>379030909</v>
      </c>
      <c r="Y67">
        <f t="shared" si="13"/>
        <v>0.45294119999999999</v>
      </c>
      <c r="AA67">
        <v>16771.689999999999</v>
      </c>
      <c r="AB67">
        <v>0</v>
      </c>
      <c r="AC67">
        <v>0</v>
      </c>
      <c r="AD67">
        <v>0</v>
      </c>
      <c r="AE67">
        <v>1841.02</v>
      </c>
      <c r="AF67">
        <v>0</v>
      </c>
      <c r="AG67">
        <v>0</v>
      </c>
      <c r="AH67">
        <v>0</v>
      </c>
      <c r="AI67">
        <v>9.11</v>
      </c>
      <c r="AJ67">
        <v>1</v>
      </c>
      <c r="AK67">
        <v>1</v>
      </c>
      <c r="AL67">
        <v>1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 t="s">
        <v>6</v>
      </c>
      <c r="AT67">
        <v>0.45294119999999999</v>
      </c>
      <c r="AU67" t="s">
        <v>6</v>
      </c>
      <c r="AV67">
        <v>0</v>
      </c>
      <c r="AW67">
        <v>1</v>
      </c>
      <c r="AX67">
        <v>-1</v>
      </c>
      <c r="AY67">
        <v>0</v>
      </c>
      <c r="AZ67">
        <v>0</v>
      </c>
      <c r="BA67" t="s">
        <v>6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V67">
        <v>0</v>
      </c>
      <c r="CW67">
        <v>0</v>
      </c>
      <c r="CX67">
        <f>ROUND(Y67*Source!I47,7)</f>
        <v>0.154</v>
      </c>
      <c r="CY67">
        <f t="shared" si="16"/>
        <v>16771.689999999999</v>
      </c>
      <c r="CZ67">
        <f t="shared" si="17"/>
        <v>1841.02</v>
      </c>
      <c r="DA67">
        <f t="shared" si="18"/>
        <v>9.11</v>
      </c>
      <c r="DB67">
        <f t="shared" si="14"/>
        <v>833.87</v>
      </c>
      <c r="DC67">
        <f t="shared" si="15"/>
        <v>0</v>
      </c>
      <c r="DD67" t="s">
        <v>6</v>
      </c>
      <c r="DE67" t="s">
        <v>6</v>
      </c>
      <c r="DF67">
        <f t="shared" si="19"/>
        <v>2582.84</v>
      </c>
      <c r="DG67">
        <f t="shared" si="20"/>
        <v>0</v>
      </c>
      <c r="DH67">
        <f>Source!I47*SmtRes!Y67</f>
        <v>0.15400000799999999</v>
      </c>
      <c r="DI67">
        <f t="shared" si="21"/>
        <v>16771.689999999999</v>
      </c>
      <c r="DJ67">
        <f t="shared" si="22"/>
        <v>2582.84</v>
      </c>
      <c r="DK67" t="e">
        <f>Source!BC47</f>
        <v>#REF!</v>
      </c>
      <c r="DL67" t="s">
        <v>6</v>
      </c>
      <c r="DM67">
        <v>0</v>
      </c>
      <c r="DN67" t="s">
        <v>6</v>
      </c>
      <c r="DO67">
        <v>0</v>
      </c>
      <c r="GP67">
        <v>1</v>
      </c>
      <c r="GQ67">
        <v>-1</v>
      </c>
      <c r="GR67">
        <v>-1</v>
      </c>
    </row>
    <row r="68" spans="1:200" x14ac:dyDescent="0.2">
      <c r="A68">
        <f>ROW(Source!A47)</f>
        <v>47</v>
      </c>
      <c r="B68">
        <v>67643165</v>
      </c>
      <c r="C68">
        <v>67660324</v>
      </c>
      <c r="D68">
        <v>49529472</v>
      </c>
      <c r="E68">
        <v>1</v>
      </c>
      <c r="F68">
        <v>1</v>
      </c>
      <c r="G68">
        <v>1</v>
      </c>
      <c r="H68">
        <v>3</v>
      </c>
      <c r="I68" t="s">
        <v>146</v>
      </c>
      <c r="J68" t="s">
        <v>148</v>
      </c>
      <c r="K68" t="s">
        <v>147</v>
      </c>
      <c r="L68">
        <v>1371</v>
      </c>
      <c r="N68">
        <v>1013</v>
      </c>
      <c r="O68" t="s">
        <v>99</v>
      </c>
      <c r="P68" t="s">
        <v>99</v>
      </c>
      <c r="Q68">
        <v>1</v>
      </c>
      <c r="W68">
        <v>0</v>
      </c>
      <c r="X68">
        <v>-442914544</v>
      </c>
      <c r="Y68">
        <f t="shared" si="13"/>
        <v>5.8823528999999999</v>
      </c>
      <c r="AA68">
        <v>3916.94</v>
      </c>
      <c r="AB68">
        <v>0</v>
      </c>
      <c r="AC68">
        <v>0</v>
      </c>
      <c r="AD68">
        <v>0</v>
      </c>
      <c r="AE68">
        <v>429.96</v>
      </c>
      <c r="AF68">
        <v>0</v>
      </c>
      <c r="AG68">
        <v>0</v>
      </c>
      <c r="AH68">
        <v>0</v>
      </c>
      <c r="AI68">
        <v>9.11</v>
      </c>
      <c r="AJ68">
        <v>1</v>
      </c>
      <c r="AK68">
        <v>1</v>
      </c>
      <c r="AL68">
        <v>1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 t="s">
        <v>6</v>
      </c>
      <c r="AT68">
        <v>5.8823528999999999</v>
      </c>
      <c r="AU68" t="s">
        <v>6</v>
      </c>
      <c r="AV68">
        <v>0</v>
      </c>
      <c r="AW68">
        <v>1</v>
      </c>
      <c r="AX68">
        <v>-1</v>
      </c>
      <c r="AY68">
        <v>0</v>
      </c>
      <c r="AZ68">
        <v>0</v>
      </c>
      <c r="BA68" t="s">
        <v>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V68">
        <v>0</v>
      </c>
      <c r="CW68">
        <v>0</v>
      </c>
      <c r="CX68">
        <f>ROUND(Y68*Source!I47,7)</f>
        <v>2</v>
      </c>
      <c r="CY68">
        <f t="shared" si="16"/>
        <v>3916.94</v>
      </c>
      <c r="CZ68">
        <f t="shared" si="17"/>
        <v>429.96</v>
      </c>
      <c r="DA68">
        <f t="shared" si="18"/>
        <v>9.11</v>
      </c>
      <c r="DB68">
        <f t="shared" si="14"/>
        <v>2529.1799999999998</v>
      </c>
      <c r="DC68">
        <f t="shared" si="15"/>
        <v>0</v>
      </c>
      <c r="DD68" t="s">
        <v>6</v>
      </c>
      <c r="DE68" t="s">
        <v>6</v>
      </c>
      <c r="DF68">
        <f t="shared" si="19"/>
        <v>7833.88</v>
      </c>
      <c r="DG68">
        <f t="shared" si="20"/>
        <v>0</v>
      </c>
      <c r="DH68">
        <f>Source!I47*SmtRes!Y68</f>
        <v>1.9999999860000002</v>
      </c>
      <c r="DI68">
        <f t="shared" si="21"/>
        <v>3916.94</v>
      </c>
      <c r="DJ68">
        <f t="shared" si="22"/>
        <v>7833.88</v>
      </c>
      <c r="DK68" t="e">
        <f>Source!BC47</f>
        <v>#REF!</v>
      </c>
      <c r="DL68" t="s">
        <v>6</v>
      </c>
      <c r="DM68">
        <v>0</v>
      </c>
      <c r="DN68" t="s">
        <v>6</v>
      </c>
      <c r="DO68">
        <v>0</v>
      </c>
      <c r="GP68">
        <v>1</v>
      </c>
      <c r="GQ68">
        <v>-1</v>
      </c>
      <c r="GR68">
        <v>-1</v>
      </c>
    </row>
    <row r="69" spans="1:200" x14ac:dyDescent="0.2">
      <c r="A69">
        <f>ROW(Source!A47)</f>
        <v>47</v>
      </c>
      <c r="B69">
        <v>67643165</v>
      </c>
      <c r="C69">
        <v>67660324</v>
      </c>
      <c r="D69">
        <v>49529474</v>
      </c>
      <c r="E69">
        <v>1</v>
      </c>
      <c r="F69">
        <v>1</v>
      </c>
      <c r="G69">
        <v>1</v>
      </c>
      <c r="H69">
        <v>3</v>
      </c>
      <c r="I69" t="s">
        <v>142</v>
      </c>
      <c r="J69" t="s">
        <v>144</v>
      </c>
      <c r="K69" t="s">
        <v>143</v>
      </c>
      <c r="L69">
        <v>1371</v>
      </c>
      <c r="N69">
        <v>1013</v>
      </c>
      <c r="O69" t="s">
        <v>99</v>
      </c>
      <c r="P69" t="s">
        <v>99</v>
      </c>
      <c r="Q69">
        <v>1</v>
      </c>
      <c r="W69">
        <v>0</v>
      </c>
      <c r="X69">
        <v>-2008874849</v>
      </c>
      <c r="Y69">
        <f t="shared" si="13"/>
        <v>2.9411765000000001</v>
      </c>
      <c r="AA69">
        <v>5901.18</v>
      </c>
      <c r="AB69">
        <v>0</v>
      </c>
      <c r="AC69">
        <v>0</v>
      </c>
      <c r="AD69">
        <v>0</v>
      </c>
      <c r="AE69">
        <v>647.77</v>
      </c>
      <c r="AF69">
        <v>0</v>
      </c>
      <c r="AG69">
        <v>0</v>
      </c>
      <c r="AH69">
        <v>0</v>
      </c>
      <c r="AI69">
        <v>9.11</v>
      </c>
      <c r="AJ69">
        <v>1</v>
      </c>
      <c r="AK69">
        <v>1</v>
      </c>
      <c r="AL69">
        <v>1</v>
      </c>
      <c r="AM69">
        <v>0</v>
      </c>
      <c r="AN69">
        <v>1</v>
      </c>
      <c r="AO69">
        <v>0</v>
      </c>
      <c r="AP69">
        <v>1</v>
      </c>
      <c r="AQ69">
        <v>0</v>
      </c>
      <c r="AR69">
        <v>0</v>
      </c>
      <c r="AS69" t="s">
        <v>6</v>
      </c>
      <c r="AT69">
        <v>2.9411765000000001</v>
      </c>
      <c r="AU69" t="s">
        <v>6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6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ROUND(Y69*Source!I47,7)</f>
        <v>1</v>
      </c>
      <c r="CY69">
        <f t="shared" si="16"/>
        <v>5901.18</v>
      </c>
      <c r="CZ69">
        <f t="shared" si="17"/>
        <v>647.77</v>
      </c>
      <c r="DA69">
        <f t="shared" si="18"/>
        <v>9.11</v>
      </c>
      <c r="DB69">
        <f t="shared" si="14"/>
        <v>1905.21</v>
      </c>
      <c r="DC69">
        <f t="shared" si="15"/>
        <v>0</v>
      </c>
      <c r="DD69" t="s">
        <v>6</v>
      </c>
      <c r="DE69" t="s">
        <v>6</v>
      </c>
      <c r="DF69">
        <f t="shared" si="19"/>
        <v>5901.18</v>
      </c>
      <c r="DG69">
        <f t="shared" si="20"/>
        <v>0</v>
      </c>
      <c r="DH69">
        <f>Source!I47*SmtRes!Y69</f>
        <v>1.0000000100000002</v>
      </c>
      <c r="DI69">
        <f t="shared" si="21"/>
        <v>5901.18</v>
      </c>
      <c r="DJ69">
        <f t="shared" si="22"/>
        <v>5901.18</v>
      </c>
      <c r="DK69" t="e">
        <f>Source!BC47</f>
        <v>#REF!</v>
      </c>
      <c r="DL69" t="s">
        <v>6</v>
      </c>
      <c r="DM69">
        <v>0</v>
      </c>
      <c r="DN69" t="s">
        <v>6</v>
      </c>
      <c r="DO69">
        <v>0</v>
      </c>
      <c r="GP69">
        <v>1</v>
      </c>
      <c r="GQ69">
        <v>-1</v>
      </c>
      <c r="GR69">
        <v>-1</v>
      </c>
    </row>
    <row r="70" spans="1:200" x14ac:dyDescent="0.2">
      <c r="A70">
        <f>ROW(Source!A47)</f>
        <v>47</v>
      </c>
      <c r="B70">
        <v>67643165</v>
      </c>
      <c r="C70">
        <v>67660324</v>
      </c>
      <c r="D70">
        <v>49529648</v>
      </c>
      <c r="E70">
        <v>1</v>
      </c>
      <c r="F70">
        <v>1</v>
      </c>
      <c r="G70">
        <v>1</v>
      </c>
      <c r="H70">
        <v>3</v>
      </c>
      <c r="I70" t="s">
        <v>150</v>
      </c>
      <c r="J70" t="s">
        <v>152</v>
      </c>
      <c r="K70" t="s">
        <v>151</v>
      </c>
      <c r="L70">
        <v>1371</v>
      </c>
      <c r="N70">
        <v>1013</v>
      </c>
      <c r="O70" t="s">
        <v>99</v>
      </c>
      <c r="P70" t="s">
        <v>99</v>
      </c>
      <c r="Q70">
        <v>1</v>
      </c>
      <c r="W70">
        <v>0</v>
      </c>
      <c r="X70">
        <v>603128293</v>
      </c>
      <c r="Y70">
        <f t="shared" si="13"/>
        <v>2.9411765000000001</v>
      </c>
      <c r="AA70">
        <v>4216.38</v>
      </c>
      <c r="AB70">
        <v>0</v>
      </c>
      <c r="AC70">
        <v>0</v>
      </c>
      <c r="AD70">
        <v>0</v>
      </c>
      <c r="AE70">
        <v>462.83</v>
      </c>
      <c r="AF70">
        <v>0</v>
      </c>
      <c r="AG70">
        <v>0</v>
      </c>
      <c r="AH70">
        <v>0</v>
      </c>
      <c r="AI70">
        <v>9.11</v>
      </c>
      <c r="AJ70">
        <v>1</v>
      </c>
      <c r="AK70">
        <v>1</v>
      </c>
      <c r="AL70">
        <v>1</v>
      </c>
      <c r="AM70">
        <v>0</v>
      </c>
      <c r="AN70">
        <v>1</v>
      </c>
      <c r="AO70">
        <v>0</v>
      </c>
      <c r="AP70">
        <v>1</v>
      </c>
      <c r="AQ70">
        <v>0</v>
      </c>
      <c r="AR70">
        <v>0</v>
      </c>
      <c r="AS70" t="s">
        <v>6</v>
      </c>
      <c r="AT70">
        <v>2.9411765000000001</v>
      </c>
      <c r="AU70" t="s">
        <v>6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6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V70">
        <v>0</v>
      </c>
      <c r="CW70">
        <v>0</v>
      </c>
      <c r="CX70">
        <f>ROUND(Y70*Source!I47,7)</f>
        <v>1</v>
      </c>
      <c r="CY70">
        <f t="shared" si="16"/>
        <v>4216.38</v>
      </c>
      <c r="CZ70">
        <f t="shared" si="17"/>
        <v>462.83</v>
      </c>
      <c r="DA70">
        <f t="shared" si="18"/>
        <v>9.11</v>
      </c>
      <c r="DB70">
        <f t="shared" si="14"/>
        <v>1361.26</v>
      </c>
      <c r="DC70">
        <f t="shared" si="15"/>
        <v>0</v>
      </c>
      <c r="DD70" t="s">
        <v>6</v>
      </c>
      <c r="DE70" t="s">
        <v>6</v>
      </c>
      <c r="DF70">
        <f t="shared" si="19"/>
        <v>4216.38</v>
      </c>
      <c r="DG70">
        <f t="shared" si="20"/>
        <v>0</v>
      </c>
      <c r="DH70">
        <f>Source!I47*SmtRes!Y70</f>
        <v>1.0000000100000002</v>
      </c>
      <c r="DI70">
        <f t="shared" si="21"/>
        <v>4216.38</v>
      </c>
      <c r="DJ70">
        <f t="shared" si="22"/>
        <v>4216.38</v>
      </c>
      <c r="DK70" t="e">
        <f>Source!BC47</f>
        <v>#REF!</v>
      </c>
      <c r="DL70" t="s">
        <v>6</v>
      </c>
      <c r="DM70">
        <v>0</v>
      </c>
      <c r="DN70" t="s">
        <v>6</v>
      </c>
      <c r="DO70">
        <v>0</v>
      </c>
      <c r="GP70">
        <v>1</v>
      </c>
      <c r="GQ70">
        <v>-1</v>
      </c>
      <c r="GR70">
        <v>-1</v>
      </c>
    </row>
    <row r="71" spans="1:200" x14ac:dyDescent="0.2">
      <c r="A71">
        <f>ROW(Source!A47)</f>
        <v>47</v>
      </c>
      <c r="B71">
        <v>67643165</v>
      </c>
      <c r="C71">
        <v>67660324</v>
      </c>
      <c r="D71">
        <v>49536008</v>
      </c>
      <c r="E71">
        <v>1</v>
      </c>
      <c r="F71">
        <v>1</v>
      </c>
      <c r="G71">
        <v>1</v>
      </c>
      <c r="H71">
        <v>3</v>
      </c>
      <c r="I71" t="s">
        <v>115</v>
      </c>
      <c r="J71" t="s">
        <v>117</v>
      </c>
      <c r="K71" t="s">
        <v>116</v>
      </c>
      <c r="L71">
        <v>1371</v>
      </c>
      <c r="N71">
        <v>1013</v>
      </c>
      <c r="O71" t="s">
        <v>99</v>
      </c>
      <c r="P71" t="s">
        <v>99</v>
      </c>
      <c r="Q71">
        <v>1</v>
      </c>
      <c r="W71">
        <v>0</v>
      </c>
      <c r="X71">
        <v>520743523</v>
      </c>
      <c r="Y71">
        <f t="shared" si="13"/>
        <v>2.9411765000000001</v>
      </c>
      <c r="AA71">
        <v>1599.44</v>
      </c>
      <c r="AB71">
        <v>0</v>
      </c>
      <c r="AC71">
        <v>0</v>
      </c>
      <c r="AD71">
        <v>0</v>
      </c>
      <c r="AE71">
        <v>175.57</v>
      </c>
      <c r="AF71">
        <v>0</v>
      </c>
      <c r="AG71">
        <v>0</v>
      </c>
      <c r="AH71">
        <v>0</v>
      </c>
      <c r="AI71">
        <v>9.11</v>
      </c>
      <c r="AJ71">
        <v>1</v>
      </c>
      <c r="AK71">
        <v>1</v>
      </c>
      <c r="AL71">
        <v>1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 t="s">
        <v>6</v>
      </c>
      <c r="AT71">
        <v>2.9411765000000001</v>
      </c>
      <c r="AU71" t="s">
        <v>6</v>
      </c>
      <c r="AV71">
        <v>0</v>
      </c>
      <c r="AW71">
        <v>1</v>
      </c>
      <c r="AX71">
        <v>-1</v>
      </c>
      <c r="AY71">
        <v>0</v>
      </c>
      <c r="AZ71">
        <v>0</v>
      </c>
      <c r="BA71" t="s">
        <v>6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ROUND(Y71*Source!I47,7)</f>
        <v>1</v>
      </c>
      <c r="CY71">
        <f t="shared" si="16"/>
        <v>1599.44</v>
      </c>
      <c r="CZ71">
        <f t="shared" si="17"/>
        <v>175.57</v>
      </c>
      <c r="DA71">
        <f t="shared" si="18"/>
        <v>9.11</v>
      </c>
      <c r="DB71">
        <f t="shared" si="14"/>
        <v>516.38</v>
      </c>
      <c r="DC71">
        <f t="shared" si="15"/>
        <v>0</v>
      </c>
      <c r="DD71" t="s">
        <v>6</v>
      </c>
      <c r="DE71" t="s">
        <v>6</v>
      </c>
      <c r="DF71">
        <f t="shared" si="19"/>
        <v>1599.44</v>
      </c>
      <c r="DG71">
        <f t="shared" si="20"/>
        <v>0</v>
      </c>
      <c r="DH71">
        <f>Source!I47*SmtRes!Y71</f>
        <v>1.0000000100000002</v>
      </c>
      <c r="DI71">
        <f t="shared" si="21"/>
        <v>1599.44</v>
      </c>
      <c r="DJ71">
        <f t="shared" si="22"/>
        <v>1599.44</v>
      </c>
      <c r="DK71" t="e">
        <f>Source!BC47</f>
        <v>#REF!</v>
      </c>
      <c r="DL71" t="s">
        <v>6</v>
      </c>
      <c r="DM71">
        <v>0</v>
      </c>
      <c r="DN71" t="s">
        <v>6</v>
      </c>
      <c r="DO71">
        <v>0</v>
      </c>
      <c r="GP71">
        <v>1</v>
      </c>
      <c r="GQ71">
        <v>-1</v>
      </c>
      <c r="GR71">
        <v>-1</v>
      </c>
    </row>
    <row r="72" spans="1:200" x14ac:dyDescent="0.2">
      <c r="A72">
        <f>ROW(Source!A47)</f>
        <v>47</v>
      </c>
      <c r="B72">
        <v>67643165</v>
      </c>
      <c r="C72">
        <v>67660324</v>
      </c>
      <c r="D72">
        <v>49539501</v>
      </c>
      <c r="E72">
        <v>1</v>
      </c>
      <c r="F72">
        <v>1</v>
      </c>
      <c r="G72">
        <v>1</v>
      </c>
      <c r="H72">
        <v>3</v>
      </c>
      <c r="I72" t="s">
        <v>127</v>
      </c>
      <c r="J72" t="s">
        <v>130</v>
      </c>
      <c r="K72" t="s">
        <v>128</v>
      </c>
      <c r="L72">
        <v>1348</v>
      </c>
      <c r="N72">
        <v>1009</v>
      </c>
      <c r="O72" t="s">
        <v>129</v>
      </c>
      <c r="P72" t="s">
        <v>129</v>
      </c>
      <c r="Q72">
        <v>1000</v>
      </c>
      <c r="W72">
        <v>0</v>
      </c>
      <c r="X72">
        <v>1853686766</v>
      </c>
      <c r="Y72">
        <f t="shared" si="13"/>
        <v>4.7647099999999998E-2</v>
      </c>
      <c r="AA72">
        <v>68971.81</v>
      </c>
      <c r="AB72">
        <v>0</v>
      </c>
      <c r="AC72">
        <v>0</v>
      </c>
      <c r="AD72">
        <v>0</v>
      </c>
      <c r="AE72">
        <v>7571</v>
      </c>
      <c r="AF72">
        <v>0</v>
      </c>
      <c r="AG72">
        <v>0</v>
      </c>
      <c r="AH72">
        <v>0</v>
      </c>
      <c r="AI72">
        <v>9.11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0</v>
      </c>
      <c r="AP72">
        <v>1</v>
      </c>
      <c r="AQ72">
        <v>0</v>
      </c>
      <c r="AR72">
        <v>0</v>
      </c>
      <c r="AS72" t="s">
        <v>6</v>
      </c>
      <c r="AT72">
        <v>4.7647099999999998E-2</v>
      </c>
      <c r="AU72" t="s">
        <v>6</v>
      </c>
      <c r="AV72">
        <v>0</v>
      </c>
      <c r="AW72">
        <v>2</v>
      </c>
      <c r="AX72">
        <v>67660366</v>
      </c>
      <c r="AY72">
        <v>1</v>
      </c>
      <c r="AZ72">
        <v>6144</v>
      </c>
      <c r="BA72">
        <v>63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ROUND(Y72*Source!I47,7)</f>
        <v>1.6199999999999999E-2</v>
      </c>
      <c r="CY72">
        <f t="shared" si="16"/>
        <v>68971.81</v>
      </c>
      <c r="CZ72">
        <f t="shared" si="17"/>
        <v>7571</v>
      </c>
      <c r="DA72">
        <f t="shared" si="18"/>
        <v>9.11</v>
      </c>
      <c r="DB72">
        <f t="shared" si="14"/>
        <v>360.74</v>
      </c>
      <c r="DC72">
        <f t="shared" si="15"/>
        <v>0</v>
      </c>
      <c r="DD72" t="s">
        <v>6</v>
      </c>
      <c r="DE72" t="s">
        <v>6</v>
      </c>
      <c r="DF72">
        <f t="shared" si="19"/>
        <v>1117.3399999999999</v>
      </c>
      <c r="DG72">
        <f t="shared" si="20"/>
        <v>0</v>
      </c>
      <c r="DH72">
        <f>Source!I47*SmtRes!Y72</f>
        <v>1.6200013999999999E-2</v>
      </c>
      <c r="DI72">
        <f t="shared" si="21"/>
        <v>68971.81</v>
      </c>
      <c r="DJ72">
        <f>EtalonRes!Y63</f>
        <v>7571</v>
      </c>
      <c r="DK72" t="e">
        <f>Source!BC47</f>
        <v>#REF!</v>
      </c>
      <c r="DL72" t="s">
        <v>6</v>
      </c>
      <c r="DM72">
        <v>0</v>
      </c>
      <c r="DN72" t="s">
        <v>6</v>
      </c>
      <c r="DO72">
        <v>0</v>
      </c>
      <c r="GP72">
        <v>1</v>
      </c>
      <c r="GQ72">
        <v>-1</v>
      </c>
      <c r="GR72">
        <v>-1</v>
      </c>
    </row>
    <row r="73" spans="1:200" x14ac:dyDescent="0.2">
      <c r="A73">
        <f>ROW(Source!A47)</f>
        <v>47</v>
      </c>
      <c r="B73">
        <v>67643165</v>
      </c>
      <c r="C73">
        <v>67660324</v>
      </c>
      <c r="D73">
        <v>49541178</v>
      </c>
      <c r="E73">
        <v>1</v>
      </c>
      <c r="F73">
        <v>1</v>
      </c>
      <c r="G73">
        <v>1</v>
      </c>
      <c r="H73">
        <v>3</v>
      </c>
      <c r="I73" t="s">
        <v>132</v>
      </c>
      <c r="J73" t="s">
        <v>134</v>
      </c>
      <c r="K73" t="s">
        <v>133</v>
      </c>
      <c r="L73">
        <v>1371</v>
      </c>
      <c r="N73">
        <v>1013</v>
      </c>
      <c r="O73" t="s">
        <v>99</v>
      </c>
      <c r="P73" t="s">
        <v>99</v>
      </c>
      <c r="Q73">
        <v>1</v>
      </c>
      <c r="W73">
        <v>0</v>
      </c>
      <c r="X73">
        <v>252477108</v>
      </c>
      <c r="Y73">
        <f t="shared" si="13"/>
        <v>2.9411765000000001</v>
      </c>
      <c r="AA73">
        <v>10829.17</v>
      </c>
      <c r="AB73">
        <v>0</v>
      </c>
      <c r="AC73">
        <v>0</v>
      </c>
      <c r="AD73">
        <v>0</v>
      </c>
      <c r="AE73">
        <v>11388.17</v>
      </c>
      <c r="AF73">
        <v>0</v>
      </c>
      <c r="AG73">
        <v>0</v>
      </c>
      <c r="AH73">
        <v>0</v>
      </c>
      <c r="AI73">
        <v>9.11</v>
      </c>
      <c r="AJ73">
        <v>1</v>
      </c>
      <c r="AK73">
        <v>1</v>
      </c>
      <c r="AL73">
        <v>1</v>
      </c>
      <c r="AM73">
        <v>0</v>
      </c>
      <c r="AN73">
        <v>1</v>
      </c>
      <c r="AO73">
        <v>0</v>
      </c>
      <c r="AP73">
        <v>1</v>
      </c>
      <c r="AQ73">
        <v>0</v>
      </c>
      <c r="AR73">
        <v>0</v>
      </c>
      <c r="AS73" t="s">
        <v>6</v>
      </c>
      <c r="AT73">
        <v>2.9411765000000001</v>
      </c>
      <c r="AU73" t="s">
        <v>6</v>
      </c>
      <c r="AV73">
        <v>0</v>
      </c>
      <c r="AW73">
        <v>1</v>
      </c>
      <c r="AX73">
        <v>-1</v>
      </c>
      <c r="AY73">
        <v>0</v>
      </c>
      <c r="AZ73">
        <v>0</v>
      </c>
      <c r="BA73" t="s">
        <v>6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ROUND(Y73*Source!I47,7)</f>
        <v>1</v>
      </c>
      <c r="CY73">
        <f t="shared" si="16"/>
        <v>10829.17</v>
      </c>
      <c r="CZ73">
        <f t="shared" si="17"/>
        <v>11388.17</v>
      </c>
      <c r="DA73">
        <f t="shared" si="18"/>
        <v>9.11</v>
      </c>
      <c r="DB73">
        <f t="shared" si="14"/>
        <v>33494.620000000003</v>
      </c>
      <c r="DC73">
        <f t="shared" si="15"/>
        <v>0</v>
      </c>
      <c r="DD73" t="s">
        <v>6</v>
      </c>
      <c r="DE73" t="s">
        <v>6</v>
      </c>
      <c r="DF73">
        <f t="shared" si="19"/>
        <v>103746.23</v>
      </c>
      <c r="DG73">
        <f t="shared" si="20"/>
        <v>0</v>
      </c>
      <c r="DH73">
        <f>Source!I47*SmtRes!Y73</f>
        <v>1.0000000100000002</v>
      </c>
      <c r="DI73">
        <f t="shared" si="21"/>
        <v>10829.17</v>
      </c>
      <c r="DJ73">
        <f t="shared" si="22"/>
        <v>103746.23</v>
      </c>
      <c r="DK73" t="e">
        <f>Source!BC47</f>
        <v>#REF!</v>
      </c>
      <c r="DL73" t="s">
        <v>6</v>
      </c>
      <c r="DM73">
        <v>0</v>
      </c>
      <c r="DN73" t="s">
        <v>6</v>
      </c>
      <c r="DO73">
        <v>0</v>
      </c>
      <c r="GP73">
        <v>1</v>
      </c>
      <c r="GQ73">
        <v>-1</v>
      </c>
      <c r="GR73">
        <v>-1</v>
      </c>
    </row>
    <row r="74" spans="1:200" x14ac:dyDescent="0.2">
      <c r="A74">
        <f>ROW(Source!A57)</f>
        <v>57</v>
      </c>
      <c r="B74">
        <v>67643165</v>
      </c>
      <c r="C74">
        <v>67643355</v>
      </c>
      <c r="D74">
        <v>49510717</v>
      </c>
      <c r="E74">
        <v>70</v>
      </c>
      <c r="F74">
        <v>1</v>
      </c>
      <c r="G74">
        <v>1</v>
      </c>
      <c r="H74">
        <v>1</v>
      </c>
      <c r="I74" t="s">
        <v>402</v>
      </c>
      <c r="J74" t="s">
        <v>6</v>
      </c>
      <c r="K74" t="s">
        <v>403</v>
      </c>
      <c r="L74">
        <v>1191</v>
      </c>
      <c r="N74">
        <v>1013</v>
      </c>
      <c r="O74" t="s">
        <v>340</v>
      </c>
      <c r="P74" t="s">
        <v>340</v>
      </c>
      <c r="Q74">
        <v>1</v>
      </c>
      <c r="W74">
        <v>0</v>
      </c>
      <c r="X74">
        <v>-983457869</v>
      </c>
      <c r="Y74">
        <f t="shared" si="13"/>
        <v>157</v>
      </c>
      <c r="AA74">
        <v>0</v>
      </c>
      <c r="AB74">
        <v>0</v>
      </c>
      <c r="AC74">
        <v>0</v>
      </c>
      <c r="AD74">
        <v>288.49</v>
      </c>
      <c r="AE74">
        <v>0</v>
      </c>
      <c r="AF74">
        <v>0</v>
      </c>
      <c r="AG74">
        <v>0</v>
      </c>
      <c r="AH74">
        <v>8.64</v>
      </c>
      <c r="AI74">
        <v>1</v>
      </c>
      <c r="AJ74">
        <v>1</v>
      </c>
      <c r="AK74">
        <v>1</v>
      </c>
      <c r="AL74">
        <v>33.39</v>
      </c>
      <c r="AM74">
        <v>4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6</v>
      </c>
      <c r="AT74">
        <v>157</v>
      </c>
      <c r="AU74" t="s">
        <v>6</v>
      </c>
      <c r="AV74">
        <v>1</v>
      </c>
      <c r="AW74">
        <v>2</v>
      </c>
      <c r="AX74">
        <v>67643381</v>
      </c>
      <c r="AY74">
        <v>1</v>
      </c>
      <c r="AZ74">
        <v>0</v>
      </c>
      <c r="BA74">
        <v>65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U74">
        <f>ROUND(AT74*Source!I57*AH74*AL74,2)</f>
        <v>35328.44</v>
      </c>
      <c r="CV74">
        <f>ROUND(Y74*Source!I57,7)</f>
        <v>122.46</v>
      </c>
      <c r="CW74">
        <v>0</v>
      </c>
      <c r="CX74">
        <f>ROUND(Y74*Source!I57,7)</f>
        <v>122.46</v>
      </c>
      <c r="CY74">
        <f>AD74</f>
        <v>288.49</v>
      </c>
      <c r="CZ74">
        <f>AH74</f>
        <v>8.64</v>
      </c>
      <c r="DA74">
        <f>AL74</f>
        <v>33.39</v>
      </c>
      <c r="DB74">
        <f t="shared" si="14"/>
        <v>1356.48</v>
      </c>
      <c r="DC74">
        <f t="shared" si="15"/>
        <v>0</v>
      </c>
      <c r="DD74" t="s">
        <v>6</v>
      </c>
      <c r="DE74" t="s">
        <v>6</v>
      </c>
      <c r="DF74">
        <f>ROUND(ROUND(AE74,2)*CX74,2)</f>
        <v>0</v>
      </c>
      <c r="DG74">
        <f t="shared" si="20"/>
        <v>0</v>
      </c>
      <c r="DH74">
        <f>Source!I57*SmtRes!Y74</f>
        <v>122.46000000000001</v>
      </c>
      <c r="DI74">
        <f>AD74</f>
        <v>288.49</v>
      </c>
      <c r="DJ74">
        <f>EtalonRes!AB65</f>
        <v>8.64</v>
      </c>
      <c r="DK74" t="e">
        <f>Source!BA57</f>
        <v>#REF!</v>
      </c>
      <c r="DL74" t="s">
        <v>6</v>
      </c>
      <c r="DM74">
        <v>0</v>
      </c>
      <c r="DN74" t="s">
        <v>6</v>
      </c>
      <c r="DO74">
        <v>0</v>
      </c>
      <c r="GQ74">
        <v>-1</v>
      </c>
      <c r="GR74">
        <v>-1</v>
      </c>
    </row>
    <row r="75" spans="1:200" x14ac:dyDescent="0.2">
      <c r="A75">
        <f>ROW(Source!A57)</f>
        <v>57</v>
      </c>
      <c r="B75">
        <v>67643165</v>
      </c>
      <c r="C75">
        <v>67643355</v>
      </c>
      <c r="D75">
        <v>49510905</v>
      </c>
      <c r="E75">
        <v>70</v>
      </c>
      <c r="F75">
        <v>1</v>
      </c>
      <c r="G75">
        <v>1</v>
      </c>
      <c r="H75">
        <v>1</v>
      </c>
      <c r="I75" t="s">
        <v>341</v>
      </c>
      <c r="J75" t="s">
        <v>6</v>
      </c>
      <c r="K75" t="s">
        <v>342</v>
      </c>
      <c r="L75">
        <v>1191</v>
      </c>
      <c r="N75">
        <v>1013</v>
      </c>
      <c r="O75" t="s">
        <v>340</v>
      </c>
      <c r="P75" t="s">
        <v>340</v>
      </c>
      <c r="Q75">
        <v>1</v>
      </c>
      <c r="W75">
        <v>0</v>
      </c>
      <c r="X75">
        <v>-1417349443</v>
      </c>
      <c r="Y75">
        <f t="shared" si="13"/>
        <v>25.22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33.39</v>
      </c>
      <c r="AL75">
        <v>1</v>
      </c>
      <c r="AM75">
        <v>4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6</v>
      </c>
      <c r="AT75">
        <v>25.22</v>
      </c>
      <c r="AU75" t="s">
        <v>6</v>
      </c>
      <c r="AV75">
        <v>2</v>
      </c>
      <c r="AW75">
        <v>2</v>
      </c>
      <c r="AX75">
        <v>67643382</v>
      </c>
      <c r="AY75">
        <v>1</v>
      </c>
      <c r="AZ75">
        <v>0</v>
      </c>
      <c r="BA75">
        <v>66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ROUND(Y75*Source!I57,7)</f>
        <v>19.671600000000002</v>
      </c>
      <c r="CY75">
        <f>AD75</f>
        <v>0</v>
      </c>
      <c r="CZ75">
        <f>AH75</f>
        <v>0</v>
      </c>
      <c r="DA75">
        <f>AL75</f>
        <v>1</v>
      </c>
      <c r="DB75">
        <f t="shared" si="14"/>
        <v>0</v>
      </c>
      <c r="DC75">
        <f t="shared" si="15"/>
        <v>0</v>
      </c>
      <c r="DD75" t="s">
        <v>6</v>
      </c>
      <c r="DE75" t="s">
        <v>6</v>
      </c>
      <c r="DF75">
        <f>ROUND(ROUND(AE75,2)*CX75,2)</f>
        <v>0</v>
      </c>
      <c r="DG75">
        <f t="shared" si="20"/>
        <v>0</v>
      </c>
      <c r="DH75">
        <f>Source!I57*SmtRes!Y75</f>
        <v>19.671600000000002</v>
      </c>
      <c r="DI75">
        <f>AD75</f>
        <v>0</v>
      </c>
      <c r="DJ75">
        <f>EtalonRes!AB66</f>
        <v>0</v>
      </c>
      <c r="DK75" t="e">
        <f>Source!BA57</f>
        <v>#REF!</v>
      </c>
      <c r="DL75" t="s">
        <v>6</v>
      </c>
      <c r="DM75">
        <v>0</v>
      </c>
      <c r="DN75" t="s">
        <v>6</v>
      </c>
      <c r="DO75">
        <v>0</v>
      </c>
      <c r="GQ75">
        <v>-1</v>
      </c>
      <c r="GR75">
        <v>-1</v>
      </c>
    </row>
    <row r="76" spans="1:200" x14ac:dyDescent="0.2">
      <c r="A76">
        <f>ROW(Source!A57)</f>
        <v>57</v>
      </c>
      <c r="B76">
        <v>67643165</v>
      </c>
      <c r="C76">
        <v>67643355</v>
      </c>
      <c r="D76">
        <v>49672573</v>
      </c>
      <c r="E76">
        <v>1</v>
      </c>
      <c r="F76">
        <v>1</v>
      </c>
      <c r="G76">
        <v>1</v>
      </c>
      <c r="H76">
        <v>2</v>
      </c>
      <c r="I76" t="s">
        <v>361</v>
      </c>
      <c r="J76" t="s">
        <v>362</v>
      </c>
      <c r="K76" t="s">
        <v>363</v>
      </c>
      <c r="L76">
        <v>1367</v>
      </c>
      <c r="N76">
        <v>1011</v>
      </c>
      <c r="O76" t="s">
        <v>346</v>
      </c>
      <c r="P76" t="s">
        <v>346</v>
      </c>
      <c r="Q76">
        <v>1</v>
      </c>
      <c r="W76">
        <v>0</v>
      </c>
      <c r="X76">
        <v>-430484415</v>
      </c>
      <c r="Y76">
        <f t="shared" si="13"/>
        <v>24.4</v>
      </c>
      <c r="AA76">
        <v>0</v>
      </c>
      <c r="AB76">
        <v>1530.2</v>
      </c>
      <c r="AC76">
        <v>450.77</v>
      </c>
      <c r="AD76">
        <v>0</v>
      </c>
      <c r="AE76">
        <v>0</v>
      </c>
      <c r="AF76">
        <v>115.4</v>
      </c>
      <c r="AG76">
        <v>13.5</v>
      </c>
      <c r="AH76">
        <v>0</v>
      </c>
      <c r="AI76">
        <v>1</v>
      </c>
      <c r="AJ76">
        <v>13.26</v>
      </c>
      <c r="AK76">
        <v>33.39</v>
      </c>
      <c r="AL76">
        <v>1</v>
      </c>
      <c r="AM76">
        <v>4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6</v>
      </c>
      <c r="AT76">
        <v>24.4</v>
      </c>
      <c r="AU76" t="s">
        <v>6</v>
      </c>
      <c r="AV76">
        <v>0</v>
      </c>
      <c r="AW76">
        <v>2</v>
      </c>
      <c r="AX76">
        <v>67643383</v>
      </c>
      <c r="AY76">
        <v>1</v>
      </c>
      <c r="AZ76">
        <v>0</v>
      </c>
      <c r="BA76">
        <v>67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f>ROUND(Y76*Source!I57*DO76,7)</f>
        <v>0</v>
      </c>
      <c r="CX76">
        <f>ROUND(Y76*Source!I57,7)</f>
        <v>19.032</v>
      </c>
      <c r="CY76">
        <f>AB76</f>
        <v>1530.2</v>
      </c>
      <c r="CZ76">
        <f>AF76</f>
        <v>115.4</v>
      </c>
      <c r="DA76">
        <f>AJ76</f>
        <v>13.26</v>
      </c>
      <c r="DB76">
        <f t="shared" si="14"/>
        <v>2815.76</v>
      </c>
      <c r="DC76">
        <f t="shared" si="15"/>
        <v>329.4</v>
      </c>
      <c r="DD76" t="s">
        <v>6</v>
      </c>
      <c r="DE76" t="s">
        <v>6</v>
      </c>
      <c r="DF76">
        <f>ROUND(ROUND(AE76,2)*CX76,2)</f>
        <v>0</v>
      </c>
      <c r="DG76">
        <f>ROUND(ROUND(AF76*AJ76,2)*CX76,2)</f>
        <v>29122.77</v>
      </c>
      <c r="DH76">
        <f>Source!I57*SmtRes!Y76</f>
        <v>19.032</v>
      </c>
      <c r="DI76">
        <f>AB76</f>
        <v>1530.2</v>
      </c>
      <c r="DJ76">
        <f>EtalonRes!Z67</f>
        <v>115.4</v>
      </c>
      <c r="DK76" t="e">
        <f>Source!BB57</f>
        <v>#REF!</v>
      </c>
      <c r="DL76" t="s">
        <v>6</v>
      </c>
      <c r="DM76">
        <v>0</v>
      </c>
      <c r="DN76" t="s">
        <v>6</v>
      </c>
      <c r="DO76">
        <v>0</v>
      </c>
      <c r="GQ76">
        <v>-1</v>
      </c>
      <c r="GR76">
        <v>-1</v>
      </c>
    </row>
    <row r="77" spans="1:200" x14ac:dyDescent="0.2">
      <c r="A77">
        <f>ROW(Source!A57)</f>
        <v>57</v>
      </c>
      <c r="B77">
        <v>67643165</v>
      </c>
      <c r="C77">
        <v>67643355</v>
      </c>
      <c r="D77">
        <v>49672974</v>
      </c>
      <c r="E77">
        <v>1</v>
      </c>
      <c r="F77">
        <v>1</v>
      </c>
      <c r="G77">
        <v>1</v>
      </c>
      <c r="H77">
        <v>2</v>
      </c>
      <c r="I77" t="s">
        <v>372</v>
      </c>
      <c r="J77" t="s">
        <v>373</v>
      </c>
      <c r="K77" t="s">
        <v>374</v>
      </c>
      <c r="L77">
        <v>1367</v>
      </c>
      <c r="N77">
        <v>1011</v>
      </c>
      <c r="O77" t="s">
        <v>346</v>
      </c>
      <c r="P77" t="s">
        <v>346</v>
      </c>
      <c r="Q77">
        <v>1</v>
      </c>
      <c r="W77">
        <v>0</v>
      </c>
      <c r="X77">
        <v>-1193409272</v>
      </c>
      <c r="Y77">
        <f t="shared" si="13"/>
        <v>0.38</v>
      </c>
      <c r="AA77">
        <v>0</v>
      </c>
      <c r="AB77">
        <v>397.8</v>
      </c>
      <c r="AC77">
        <v>0</v>
      </c>
      <c r="AD77">
        <v>0</v>
      </c>
      <c r="AE77">
        <v>0</v>
      </c>
      <c r="AF77">
        <v>30</v>
      </c>
      <c r="AG77">
        <v>0</v>
      </c>
      <c r="AH77">
        <v>0</v>
      </c>
      <c r="AI77">
        <v>1</v>
      </c>
      <c r="AJ77">
        <v>13.26</v>
      </c>
      <c r="AK77">
        <v>33.39</v>
      </c>
      <c r="AL77">
        <v>1</v>
      </c>
      <c r="AM77">
        <v>4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6</v>
      </c>
      <c r="AT77">
        <v>0.38</v>
      </c>
      <c r="AU77" t="s">
        <v>6</v>
      </c>
      <c r="AV77">
        <v>0</v>
      </c>
      <c r="AW77">
        <v>2</v>
      </c>
      <c r="AX77">
        <v>67643384</v>
      </c>
      <c r="AY77">
        <v>1</v>
      </c>
      <c r="AZ77">
        <v>0</v>
      </c>
      <c r="BA77">
        <v>68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f>ROUND(Y77*Source!I57*DO77,7)</f>
        <v>0</v>
      </c>
      <c r="CX77">
        <f>ROUND(Y77*Source!I57,7)</f>
        <v>0.2964</v>
      </c>
      <c r="CY77">
        <f>AB77</f>
        <v>397.8</v>
      </c>
      <c r="CZ77">
        <f>AF77</f>
        <v>30</v>
      </c>
      <c r="DA77">
        <f>AJ77</f>
        <v>13.26</v>
      </c>
      <c r="DB77">
        <f t="shared" si="14"/>
        <v>11.4</v>
      </c>
      <c r="DC77">
        <f t="shared" si="15"/>
        <v>0</v>
      </c>
      <c r="DD77" t="s">
        <v>6</v>
      </c>
      <c r="DE77" t="s">
        <v>6</v>
      </c>
      <c r="DF77">
        <f>ROUND(ROUND(AE77,2)*CX77,2)</f>
        <v>0</v>
      </c>
      <c r="DG77">
        <f>ROUND(ROUND(AF77*AJ77,2)*CX77,2)</f>
        <v>117.91</v>
      </c>
      <c r="DH77">
        <f>Source!I57*SmtRes!Y77</f>
        <v>0.2964</v>
      </c>
      <c r="DI77">
        <f>AB77</f>
        <v>397.8</v>
      </c>
      <c r="DJ77">
        <f>EtalonRes!Z68</f>
        <v>30</v>
      </c>
      <c r="DK77" t="e">
        <f>Source!BB57</f>
        <v>#REF!</v>
      </c>
      <c r="DL77" t="s">
        <v>6</v>
      </c>
      <c r="DM77">
        <v>0</v>
      </c>
      <c r="DN77" t="s">
        <v>6</v>
      </c>
      <c r="DO77">
        <v>0</v>
      </c>
      <c r="GQ77">
        <v>-1</v>
      </c>
      <c r="GR77">
        <v>-1</v>
      </c>
    </row>
    <row r="78" spans="1:200" x14ac:dyDescent="0.2">
      <c r="A78">
        <f>ROW(Source!A57)</f>
        <v>57</v>
      </c>
      <c r="B78">
        <v>67643165</v>
      </c>
      <c r="C78">
        <v>67643355</v>
      </c>
      <c r="D78">
        <v>49673503</v>
      </c>
      <c r="E78">
        <v>1</v>
      </c>
      <c r="F78">
        <v>1</v>
      </c>
      <c r="G78">
        <v>1</v>
      </c>
      <c r="H78">
        <v>2</v>
      </c>
      <c r="I78" t="s">
        <v>364</v>
      </c>
      <c r="J78" t="s">
        <v>365</v>
      </c>
      <c r="K78" t="s">
        <v>366</v>
      </c>
      <c r="L78">
        <v>1367</v>
      </c>
      <c r="N78">
        <v>1011</v>
      </c>
      <c r="O78" t="s">
        <v>346</v>
      </c>
      <c r="P78" t="s">
        <v>346</v>
      </c>
      <c r="Q78">
        <v>1</v>
      </c>
      <c r="W78">
        <v>0</v>
      </c>
      <c r="X78">
        <v>509054691</v>
      </c>
      <c r="Y78">
        <f t="shared" si="13"/>
        <v>0.82</v>
      </c>
      <c r="AA78">
        <v>0</v>
      </c>
      <c r="AB78">
        <v>871.31</v>
      </c>
      <c r="AC78">
        <v>387.32</v>
      </c>
      <c r="AD78">
        <v>0</v>
      </c>
      <c r="AE78">
        <v>0</v>
      </c>
      <c r="AF78">
        <v>65.709999999999994</v>
      </c>
      <c r="AG78">
        <v>11.6</v>
      </c>
      <c r="AH78">
        <v>0</v>
      </c>
      <c r="AI78">
        <v>1</v>
      </c>
      <c r="AJ78">
        <v>13.26</v>
      </c>
      <c r="AK78">
        <v>33.39</v>
      </c>
      <c r="AL78">
        <v>1</v>
      </c>
      <c r="AM78">
        <v>4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6</v>
      </c>
      <c r="AT78">
        <v>0.82</v>
      </c>
      <c r="AU78" t="s">
        <v>6</v>
      </c>
      <c r="AV78">
        <v>0</v>
      </c>
      <c r="AW78">
        <v>2</v>
      </c>
      <c r="AX78">
        <v>67643385</v>
      </c>
      <c r="AY78">
        <v>1</v>
      </c>
      <c r="AZ78">
        <v>0</v>
      </c>
      <c r="BA78">
        <v>69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f>ROUND(Y78*Source!I57*DO78,7)</f>
        <v>0</v>
      </c>
      <c r="CX78">
        <f>ROUND(Y78*Source!I57,7)</f>
        <v>0.63959999999999995</v>
      </c>
      <c r="CY78">
        <f>AB78</f>
        <v>871.31</v>
      </c>
      <c r="CZ78">
        <f>AF78</f>
        <v>65.709999999999994</v>
      </c>
      <c r="DA78">
        <f>AJ78</f>
        <v>13.26</v>
      </c>
      <c r="DB78">
        <f t="shared" si="14"/>
        <v>53.88</v>
      </c>
      <c r="DC78">
        <f t="shared" si="15"/>
        <v>9.51</v>
      </c>
      <c r="DD78" t="s">
        <v>6</v>
      </c>
      <c r="DE78" t="s">
        <v>6</v>
      </c>
      <c r="DF78">
        <f>ROUND(ROUND(AE78,2)*CX78,2)</f>
        <v>0</v>
      </c>
      <c r="DG78">
        <f>ROUND(ROUND(AF78*AJ78,2)*CX78,2)</f>
        <v>557.29</v>
      </c>
      <c r="DH78">
        <f>Source!I57*SmtRes!Y78</f>
        <v>0.63959999999999995</v>
      </c>
      <c r="DI78">
        <f>AB78</f>
        <v>871.31</v>
      </c>
      <c r="DJ78">
        <f>EtalonRes!Z69</f>
        <v>65.709999999999994</v>
      </c>
      <c r="DK78" t="e">
        <f>Source!BB57</f>
        <v>#REF!</v>
      </c>
      <c r="DL78" t="s">
        <v>6</v>
      </c>
      <c r="DM78">
        <v>0</v>
      </c>
      <c r="DN78" t="s">
        <v>6</v>
      </c>
      <c r="DO78">
        <v>0</v>
      </c>
      <c r="GQ78">
        <v>-1</v>
      </c>
      <c r="GR78">
        <v>-1</v>
      </c>
    </row>
    <row r="79" spans="1:200" x14ac:dyDescent="0.2">
      <c r="A79">
        <f>ROW(Source!A57)</f>
        <v>57</v>
      </c>
      <c r="B79">
        <v>67643165</v>
      </c>
      <c r="C79">
        <v>67643355</v>
      </c>
      <c r="D79">
        <v>49521312</v>
      </c>
      <c r="E79">
        <v>1</v>
      </c>
      <c r="F79">
        <v>1</v>
      </c>
      <c r="G79">
        <v>1</v>
      </c>
      <c r="H79">
        <v>3</v>
      </c>
      <c r="I79" t="s">
        <v>404</v>
      </c>
      <c r="J79" t="s">
        <v>405</v>
      </c>
      <c r="K79" t="s">
        <v>406</v>
      </c>
      <c r="L79">
        <v>1348</v>
      </c>
      <c r="N79">
        <v>1009</v>
      </c>
      <c r="O79" t="s">
        <v>129</v>
      </c>
      <c r="P79" t="s">
        <v>129</v>
      </c>
      <c r="Q79">
        <v>1000</v>
      </c>
      <c r="W79">
        <v>0</v>
      </c>
      <c r="X79">
        <v>-1565465599</v>
      </c>
      <c r="Y79" s="211">
        <f>'6.Ведомость_списания'!F75</f>
        <v>0.05</v>
      </c>
      <c r="AA79">
        <v>14539.56</v>
      </c>
      <c r="AB79">
        <v>0</v>
      </c>
      <c r="AC79">
        <v>0</v>
      </c>
      <c r="AD79">
        <v>0</v>
      </c>
      <c r="AE79">
        <v>1596</v>
      </c>
      <c r="AF79">
        <v>0</v>
      </c>
      <c r="AG79">
        <v>0</v>
      </c>
      <c r="AH79">
        <v>0</v>
      </c>
      <c r="AI79">
        <v>9.11</v>
      </c>
      <c r="AJ79">
        <v>1</v>
      </c>
      <c r="AK79">
        <v>1</v>
      </c>
      <c r="AL79">
        <v>1</v>
      </c>
      <c r="AM79">
        <v>4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6</v>
      </c>
      <c r="AT79">
        <v>0.05</v>
      </c>
      <c r="AU79" t="s">
        <v>6</v>
      </c>
      <c r="AV79">
        <v>0</v>
      </c>
      <c r="AW79">
        <v>2</v>
      </c>
      <c r="AX79">
        <v>67643386</v>
      </c>
      <c r="AY79">
        <v>1</v>
      </c>
      <c r="AZ79">
        <v>0</v>
      </c>
      <c r="BA79">
        <v>70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ROUND(Y79*Source!I57,7)</f>
        <v>3.9E-2</v>
      </c>
      <c r="CY79">
        <f t="shared" ref="CY79:CY97" si="23">AA79</f>
        <v>14539.56</v>
      </c>
      <c r="CZ79">
        <f t="shared" ref="CZ79:CZ97" si="24">AE79</f>
        <v>1596</v>
      </c>
      <c r="DA79">
        <f t="shared" ref="DA79:DA97" si="25">AI79</f>
        <v>9.11</v>
      </c>
      <c r="DB79">
        <f t="shared" si="14"/>
        <v>79.8</v>
      </c>
      <c r="DC79">
        <f t="shared" si="15"/>
        <v>0</v>
      </c>
      <c r="DD79" t="s">
        <v>6</v>
      </c>
      <c r="DE79" t="s">
        <v>6</v>
      </c>
      <c r="DF79">
        <f t="shared" ref="DF79:DF97" si="26">ROUND(ROUND(AE79*AI79,2)*CX79,2)</f>
        <v>567.04</v>
      </c>
      <c r="DG79">
        <f t="shared" ref="DG79:DG99" si="27">ROUND(ROUND(AF79,2)*CX79,2)</f>
        <v>0</v>
      </c>
      <c r="DH79">
        <f>Source!I57*SmtRes!Y79</f>
        <v>3.9000000000000007E-2</v>
      </c>
      <c r="DI79">
        <f t="shared" ref="DI79:DI97" si="28">AA79</f>
        <v>14539.56</v>
      </c>
      <c r="DJ79">
        <f>EtalonRes!Y70</f>
        <v>1596</v>
      </c>
      <c r="DK79" t="e">
        <f>Source!BC57</f>
        <v>#REF!</v>
      </c>
      <c r="DL79" t="s">
        <v>6</v>
      </c>
      <c r="DM79">
        <v>0</v>
      </c>
      <c r="DN79" t="s">
        <v>6</v>
      </c>
      <c r="DO79">
        <v>0</v>
      </c>
      <c r="GQ79">
        <v>-1</v>
      </c>
      <c r="GR79">
        <v>-1</v>
      </c>
    </row>
    <row r="80" spans="1:200" x14ac:dyDescent="0.2">
      <c r="A80">
        <f>ROW(Source!A57)</f>
        <v>57</v>
      </c>
      <c r="B80">
        <v>67643165</v>
      </c>
      <c r="C80">
        <v>67643355</v>
      </c>
      <c r="D80">
        <v>49521570</v>
      </c>
      <c r="E80">
        <v>1</v>
      </c>
      <c r="F80">
        <v>1</v>
      </c>
      <c r="G80">
        <v>1</v>
      </c>
      <c r="H80">
        <v>3</v>
      </c>
      <c r="I80" t="s">
        <v>378</v>
      </c>
      <c r="J80" t="s">
        <v>379</v>
      </c>
      <c r="K80" t="s">
        <v>380</v>
      </c>
      <c r="L80">
        <v>1348</v>
      </c>
      <c r="N80">
        <v>1009</v>
      </c>
      <c r="O80" t="s">
        <v>129</v>
      </c>
      <c r="P80" t="s">
        <v>129</v>
      </c>
      <c r="Q80">
        <v>1000</v>
      </c>
      <c r="W80">
        <v>0</v>
      </c>
      <c r="X80">
        <v>1557593705</v>
      </c>
      <c r="Y80" s="211">
        <f>'6.Ведомость_списания'!F76</f>
        <v>8.9999999999999993E-3</v>
      </c>
      <c r="AA80">
        <v>36819.89</v>
      </c>
      <c r="AB80">
        <v>0</v>
      </c>
      <c r="AC80">
        <v>0</v>
      </c>
      <c r="AD80">
        <v>0</v>
      </c>
      <c r="AE80">
        <v>4041.7</v>
      </c>
      <c r="AF80">
        <v>0</v>
      </c>
      <c r="AG80">
        <v>0</v>
      </c>
      <c r="AH80">
        <v>0</v>
      </c>
      <c r="AI80">
        <v>9.11</v>
      </c>
      <c r="AJ80">
        <v>1</v>
      </c>
      <c r="AK80">
        <v>1</v>
      </c>
      <c r="AL80">
        <v>1</v>
      </c>
      <c r="AM80">
        <v>4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6</v>
      </c>
      <c r="AT80">
        <v>8.9999999999999993E-3</v>
      </c>
      <c r="AU80" t="s">
        <v>6</v>
      </c>
      <c r="AV80">
        <v>0</v>
      </c>
      <c r="AW80">
        <v>2</v>
      </c>
      <c r="AX80">
        <v>67643387</v>
      </c>
      <c r="AY80">
        <v>1</v>
      </c>
      <c r="AZ80">
        <v>0</v>
      </c>
      <c r="BA80">
        <v>71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ROUND(Y80*Source!I57,7)</f>
        <v>7.0200000000000002E-3</v>
      </c>
      <c r="CY80">
        <f t="shared" si="23"/>
        <v>36819.89</v>
      </c>
      <c r="CZ80">
        <f t="shared" si="24"/>
        <v>4041.7</v>
      </c>
      <c r="DA80">
        <f t="shared" si="25"/>
        <v>9.11</v>
      </c>
      <c r="DB80">
        <f t="shared" si="14"/>
        <v>36.380000000000003</v>
      </c>
      <c r="DC80">
        <f t="shared" si="15"/>
        <v>0</v>
      </c>
      <c r="DD80" t="s">
        <v>6</v>
      </c>
      <c r="DE80" t="s">
        <v>6</v>
      </c>
      <c r="DF80">
        <f t="shared" si="26"/>
        <v>258.48</v>
      </c>
      <c r="DG80">
        <f t="shared" si="27"/>
        <v>0</v>
      </c>
      <c r="DH80">
        <f>Source!I57*SmtRes!Y80</f>
        <v>7.0199999999999993E-3</v>
      </c>
      <c r="DI80">
        <f t="shared" si="28"/>
        <v>36819.89</v>
      </c>
      <c r="DJ80">
        <f>EtalonRes!Y71</f>
        <v>4041.7</v>
      </c>
      <c r="DK80" t="e">
        <f>Source!BC57</f>
        <v>#REF!</v>
      </c>
      <c r="DL80" t="s">
        <v>6</v>
      </c>
      <c r="DM80">
        <v>0</v>
      </c>
      <c r="DN80" t="s">
        <v>6</v>
      </c>
      <c r="DO80">
        <v>0</v>
      </c>
      <c r="GQ80">
        <v>-1</v>
      </c>
      <c r="GR80">
        <v>-1</v>
      </c>
    </row>
    <row r="81" spans="1:200" x14ac:dyDescent="0.2">
      <c r="A81">
        <f>ROW(Source!A57)</f>
        <v>57</v>
      </c>
      <c r="B81">
        <v>67643165</v>
      </c>
      <c r="C81">
        <v>67643355</v>
      </c>
      <c r="D81">
        <v>49523203</v>
      </c>
      <c r="E81">
        <v>1</v>
      </c>
      <c r="F81">
        <v>1</v>
      </c>
      <c r="G81">
        <v>1</v>
      </c>
      <c r="H81">
        <v>3</v>
      </c>
      <c r="I81" t="s">
        <v>367</v>
      </c>
      <c r="J81" t="s">
        <v>368</v>
      </c>
      <c r="K81" t="s">
        <v>369</v>
      </c>
      <c r="L81">
        <v>1339</v>
      </c>
      <c r="N81">
        <v>1007</v>
      </c>
      <c r="O81" t="s">
        <v>33</v>
      </c>
      <c r="P81" t="s">
        <v>33</v>
      </c>
      <c r="Q81">
        <v>1</v>
      </c>
      <c r="W81">
        <v>0</v>
      </c>
      <c r="X81">
        <v>-143474561</v>
      </c>
      <c r="Y81" s="211">
        <f>'6.Ведомость_списания'!F77</f>
        <v>6.9999999999999999E-4</v>
      </c>
      <c r="AA81">
        <v>22.23</v>
      </c>
      <c r="AB81">
        <v>0</v>
      </c>
      <c r="AC81">
        <v>0</v>
      </c>
      <c r="AD81">
        <v>0</v>
      </c>
      <c r="AE81">
        <v>2.44</v>
      </c>
      <c r="AF81">
        <v>0</v>
      </c>
      <c r="AG81">
        <v>0</v>
      </c>
      <c r="AH81">
        <v>0</v>
      </c>
      <c r="AI81">
        <v>9.11</v>
      </c>
      <c r="AJ81">
        <v>1</v>
      </c>
      <c r="AK81">
        <v>1</v>
      </c>
      <c r="AL81">
        <v>1</v>
      </c>
      <c r="AM81">
        <v>4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6</v>
      </c>
      <c r="AT81">
        <v>6.9999999999999999E-4</v>
      </c>
      <c r="AU81" t="s">
        <v>6</v>
      </c>
      <c r="AV81">
        <v>0</v>
      </c>
      <c r="AW81">
        <v>2</v>
      </c>
      <c r="AX81">
        <v>67643388</v>
      </c>
      <c r="AY81">
        <v>1</v>
      </c>
      <c r="AZ81">
        <v>0</v>
      </c>
      <c r="BA81">
        <v>72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ROUND(Y81*Source!I57,7)</f>
        <v>5.4600000000000004E-4</v>
      </c>
      <c r="CY81">
        <f t="shared" si="23"/>
        <v>22.23</v>
      </c>
      <c r="CZ81">
        <f t="shared" si="24"/>
        <v>2.44</v>
      </c>
      <c r="DA81">
        <f t="shared" si="25"/>
        <v>9.11</v>
      </c>
      <c r="DB81">
        <f t="shared" ref="DB81:DB112" si="29">ROUND(ROUND(AT81*CZ81,2),2)</f>
        <v>0</v>
      </c>
      <c r="DC81">
        <f t="shared" ref="DC81:DC112" si="30">ROUND(ROUND(AT81*AG81,2),2)</f>
        <v>0</v>
      </c>
      <c r="DD81" t="s">
        <v>6</v>
      </c>
      <c r="DE81" t="s">
        <v>6</v>
      </c>
      <c r="DF81">
        <f t="shared" si="26"/>
        <v>0.01</v>
      </c>
      <c r="DG81">
        <f t="shared" si="27"/>
        <v>0</v>
      </c>
      <c r="DH81">
        <f>Source!I57*SmtRes!Y81</f>
        <v>5.4600000000000004E-4</v>
      </c>
      <c r="DI81">
        <f t="shared" si="28"/>
        <v>22.23</v>
      </c>
      <c r="DJ81">
        <f>EtalonRes!Y72</f>
        <v>2.44</v>
      </c>
      <c r="DK81" t="e">
        <f>Source!BC57</f>
        <v>#REF!</v>
      </c>
      <c r="DL81" t="s">
        <v>6</v>
      </c>
      <c r="DM81">
        <v>0</v>
      </c>
      <c r="DN81" t="s">
        <v>6</v>
      </c>
      <c r="DO81">
        <v>0</v>
      </c>
      <c r="GQ81">
        <v>-1</v>
      </c>
      <c r="GR81">
        <v>-1</v>
      </c>
    </row>
    <row r="82" spans="1:200" x14ac:dyDescent="0.2">
      <c r="A82">
        <f>ROW(Source!A57)</f>
        <v>57</v>
      </c>
      <c r="B82">
        <v>67643165</v>
      </c>
      <c r="C82">
        <v>67643355</v>
      </c>
      <c r="D82">
        <v>49523843</v>
      </c>
      <c r="E82">
        <v>1</v>
      </c>
      <c r="F82">
        <v>1</v>
      </c>
      <c r="G82">
        <v>1</v>
      </c>
      <c r="H82">
        <v>3</v>
      </c>
      <c r="I82" t="s">
        <v>381</v>
      </c>
      <c r="J82" t="s">
        <v>382</v>
      </c>
      <c r="K82" t="s">
        <v>383</v>
      </c>
      <c r="L82">
        <v>1348</v>
      </c>
      <c r="N82">
        <v>1009</v>
      </c>
      <c r="O82" t="s">
        <v>129</v>
      </c>
      <c r="P82" t="s">
        <v>129</v>
      </c>
      <c r="Q82">
        <v>1000</v>
      </c>
      <c r="W82">
        <v>0</v>
      </c>
      <c r="X82">
        <v>1511150967</v>
      </c>
      <c r="Y82" s="211">
        <f>'6.Ведомость_списания'!F78</f>
        <v>0.02</v>
      </c>
      <c r="AA82">
        <v>273573.3</v>
      </c>
      <c r="AB82">
        <v>0</v>
      </c>
      <c r="AC82">
        <v>0</v>
      </c>
      <c r="AD82">
        <v>0</v>
      </c>
      <c r="AE82">
        <v>30030</v>
      </c>
      <c r="AF82">
        <v>0</v>
      </c>
      <c r="AG82">
        <v>0</v>
      </c>
      <c r="AH82">
        <v>0</v>
      </c>
      <c r="AI82">
        <v>9.11</v>
      </c>
      <c r="AJ82">
        <v>1</v>
      </c>
      <c r="AK82">
        <v>1</v>
      </c>
      <c r="AL82">
        <v>1</v>
      </c>
      <c r="AM82">
        <v>4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6</v>
      </c>
      <c r="AT82">
        <v>0.02</v>
      </c>
      <c r="AU82" t="s">
        <v>6</v>
      </c>
      <c r="AV82">
        <v>0</v>
      </c>
      <c r="AW82">
        <v>2</v>
      </c>
      <c r="AX82">
        <v>67643389</v>
      </c>
      <c r="AY82">
        <v>1</v>
      </c>
      <c r="AZ82">
        <v>0</v>
      </c>
      <c r="BA82">
        <v>73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V82">
        <v>0</v>
      </c>
      <c r="CW82">
        <v>0</v>
      </c>
      <c r="CX82">
        <f>ROUND(Y82*Source!I57,7)</f>
        <v>1.5599999999999999E-2</v>
      </c>
      <c r="CY82">
        <f t="shared" si="23"/>
        <v>273573.3</v>
      </c>
      <c r="CZ82">
        <f t="shared" si="24"/>
        <v>30030</v>
      </c>
      <c r="DA82">
        <f t="shared" si="25"/>
        <v>9.11</v>
      </c>
      <c r="DB82">
        <f t="shared" si="29"/>
        <v>600.6</v>
      </c>
      <c r="DC82">
        <f t="shared" si="30"/>
        <v>0</v>
      </c>
      <c r="DD82" t="s">
        <v>6</v>
      </c>
      <c r="DE82" t="s">
        <v>6</v>
      </c>
      <c r="DF82">
        <f t="shared" si="26"/>
        <v>4267.74</v>
      </c>
      <c r="DG82">
        <f t="shared" si="27"/>
        <v>0</v>
      </c>
      <c r="DH82">
        <f>Source!I57*SmtRes!Y82</f>
        <v>1.5600000000000001E-2</v>
      </c>
      <c r="DI82">
        <f t="shared" si="28"/>
        <v>273573.3</v>
      </c>
      <c r="DJ82">
        <f>EtalonRes!Y73</f>
        <v>30030</v>
      </c>
      <c r="DK82" t="e">
        <f>Source!BC57</f>
        <v>#REF!</v>
      </c>
      <c r="DL82" t="s">
        <v>6</v>
      </c>
      <c r="DM82">
        <v>0</v>
      </c>
      <c r="DN82" t="s">
        <v>6</v>
      </c>
      <c r="DO82">
        <v>0</v>
      </c>
      <c r="GQ82">
        <v>-1</v>
      </c>
      <c r="GR82">
        <v>-1</v>
      </c>
    </row>
    <row r="83" spans="1:200" x14ac:dyDescent="0.2">
      <c r="A83">
        <f>ROW(Source!A57)</f>
        <v>57</v>
      </c>
      <c r="B83">
        <v>67643165</v>
      </c>
      <c r="C83">
        <v>67643355</v>
      </c>
      <c r="D83">
        <v>49525587</v>
      </c>
      <c r="E83">
        <v>1</v>
      </c>
      <c r="F83">
        <v>1</v>
      </c>
      <c r="G83">
        <v>1</v>
      </c>
      <c r="H83">
        <v>3</v>
      </c>
      <c r="I83" t="s">
        <v>407</v>
      </c>
      <c r="J83" t="s">
        <v>408</v>
      </c>
      <c r="K83" t="s">
        <v>409</v>
      </c>
      <c r="L83">
        <v>1348</v>
      </c>
      <c r="N83">
        <v>1009</v>
      </c>
      <c r="O83" t="s">
        <v>129</v>
      </c>
      <c r="P83" t="s">
        <v>129</v>
      </c>
      <c r="Q83">
        <v>1000</v>
      </c>
      <c r="W83">
        <v>0</v>
      </c>
      <c r="X83">
        <v>-45966985</v>
      </c>
      <c r="Y83" s="211">
        <f>'6.Ведомость_списания'!F79</f>
        <v>2.0000000000000001E-4</v>
      </c>
      <c r="AA83">
        <v>109119.58</v>
      </c>
      <c r="AB83">
        <v>0</v>
      </c>
      <c r="AC83">
        <v>0</v>
      </c>
      <c r="AD83">
        <v>0</v>
      </c>
      <c r="AE83">
        <v>11978</v>
      </c>
      <c r="AF83">
        <v>0</v>
      </c>
      <c r="AG83">
        <v>0</v>
      </c>
      <c r="AH83">
        <v>0</v>
      </c>
      <c r="AI83">
        <v>9.11</v>
      </c>
      <c r="AJ83">
        <v>1</v>
      </c>
      <c r="AK83">
        <v>1</v>
      </c>
      <c r="AL83">
        <v>1</v>
      </c>
      <c r="AM83">
        <v>4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6</v>
      </c>
      <c r="AT83">
        <v>2.0000000000000001E-4</v>
      </c>
      <c r="AU83" t="s">
        <v>6</v>
      </c>
      <c r="AV83">
        <v>0</v>
      </c>
      <c r="AW83">
        <v>2</v>
      </c>
      <c r="AX83">
        <v>67643390</v>
      </c>
      <c r="AY83">
        <v>1</v>
      </c>
      <c r="AZ83">
        <v>0</v>
      </c>
      <c r="BA83">
        <v>74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ROUND(Y83*Source!I57,7)</f>
        <v>1.56E-4</v>
      </c>
      <c r="CY83">
        <f t="shared" si="23"/>
        <v>109119.58</v>
      </c>
      <c r="CZ83">
        <f t="shared" si="24"/>
        <v>11978</v>
      </c>
      <c r="DA83">
        <f t="shared" si="25"/>
        <v>9.11</v>
      </c>
      <c r="DB83">
        <f t="shared" si="29"/>
        <v>2.4</v>
      </c>
      <c r="DC83">
        <f t="shared" si="30"/>
        <v>0</v>
      </c>
      <c r="DD83" t="s">
        <v>6</v>
      </c>
      <c r="DE83" t="s">
        <v>6</v>
      </c>
      <c r="DF83">
        <f t="shared" si="26"/>
        <v>17.02</v>
      </c>
      <c r="DG83">
        <f t="shared" si="27"/>
        <v>0</v>
      </c>
      <c r="DH83">
        <f>Source!I57*SmtRes!Y83</f>
        <v>1.5600000000000002E-4</v>
      </c>
      <c r="DI83">
        <f t="shared" si="28"/>
        <v>109119.58</v>
      </c>
      <c r="DJ83">
        <f>EtalonRes!Y74</f>
        <v>11978</v>
      </c>
      <c r="DK83" t="e">
        <f>Source!BC57</f>
        <v>#REF!</v>
      </c>
      <c r="DL83" t="s">
        <v>6</v>
      </c>
      <c r="DM83">
        <v>0</v>
      </c>
      <c r="DN83" t="s">
        <v>6</v>
      </c>
      <c r="DO83">
        <v>0</v>
      </c>
      <c r="GQ83">
        <v>-1</v>
      </c>
      <c r="GR83">
        <v>-1</v>
      </c>
    </row>
    <row r="84" spans="1:200" x14ac:dyDescent="0.2">
      <c r="A84">
        <f>ROW(Source!A57)</f>
        <v>57</v>
      </c>
      <c r="B84">
        <v>67643165</v>
      </c>
      <c r="C84">
        <v>67643355</v>
      </c>
      <c r="D84">
        <v>49525778</v>
      </c>
      <c r="E84">
        <v>1</v>
      </c>
      <c r="F84">
        <v>1</v>
      </c>
      <c r="G84">
        <v>1</v>
      </c>
      <c r="H84">
        <v>3</v>
      </c>
      <c r="I84" t="s">
        <v>410</v>
      </c>
      <c r="J84" t="s">
        <v>411</v>
      </c>
      <c r="K84" t="s">
        <v>412</v>
      </c>
      <c r="L84">
        <v>1371</v>
      </c>
      <c r="N84">
        <v>1013</v>
      </c>
      <c r="O84" t="s">
        <v>99</v>
      </c>
      <c r="P84" t="s">
        <v>99</v>
      </c>
      <c r="Q84">
        <v>1</v>
      </c>
      <c r="W84">
        <v>0</v>
      </c>
      <c r="X84">
        <v>-597105463</v>
      </c>
      <c r="Y84" s="211">
        <f>'6.Ведомость_списания'!F80</f>
        <v>38.799999999999997</v>
      </c>
      <c r="AA84">
        <v>59.67</v>
      </c>
      <c r="AB84">
        <v>0</v>
      </c>
      <c r="AC84">
        <v>0</v>
      </c>
      <c r="AD84">
        <v>0</v>
      </c>
      <c r="AE84">
        <v>6.55</v>
      </c>
      <c r="AF84">
        <v>0</v>
      </c>
      <c r="AG84">
        <v>0</v>
      </c>
      <c r="AH84">
        <v>0</v>
      </c>
      <c r="AI84">
        <v>9.11</v>
      </c>
      <c r="AJ84">
        <v>1</v>
      </c>
      <c r="AK84">
        <v>1</v>
      </c>
      <c r="AL84">
        <v>1</v>
      </c>
      <c r="AM84">
        <v>4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6</v>
      </c>
      <c r="AT84">
        <v>38.799999999999997</v>
      </c>
      <c r="AU84" t="s">
        <v>6</v>
      </c>
      <c r="AV84">
        <v>0</v>
      </c>
      <c r="AW84">
        <v>2</v>
      </c>
      <c r="AX84">
        <v>67643391</v>
      </c>
      <c r="AY84">
        <v>1</v>
      </c>
      <c r="AZ84">
        <v>0</v>
      </c>
      <c r="BA84">
        <v>75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ROUND(Y84*Source!I57,7)</f>
        <v>30.263999999999999</v>
      </c>
      <c r="CY84">
        <f t="shared" si="23"/>
        <v>59.67</v>
      </c>
      <c r="CZ84">
        <f t="shared" si="24"/>
        <v>6.55</v>
      </c>
      <c r="DA84">
        <f t="shared" si="25"/>
        <v>9.11</v>
      </c>
      <c r="DB84">
        <f t="shared" si="29"/>
        <v>254.14</v>
      </c>
      <c r="DC84">
        <f t="shared" si="30"/>
        <v>0</v>
      </c>
      <c r="DD84" t="s">
        <v>6</v>
      </c>
      <c r="DE84" t="s">
        <v>6</v>
      </c>
      <c r="DF84">
        <f t="shared" si="26"/>
        <v>1805.85</v>
      </c>
      <c r="DG84">
        <f t="shared" si="27"/>
        <v>0</v>
      </c>
      <c r="DH84">
        <f>Source!I57*SmtRes!Y84</f>
        <v>30.263999999999999</v>
      </c>
      <c r="DI84">
        <f t="shared" si="28"/>
        <v>59.67</v>
      </c>
      <c r="DJ84">
        <f>EtalonRes!Y75</f>
        <v>6.55</v>
      </c>
      <c r="DK84" t="e">
        <f>Source!BC57</f>
        <v>#REF!</v>
      </c>
      <c r="DL84" t="s">
        <v>6</v>
      </c>
      <c r="DM84">
        <v>0</v>
      </c>
      <c r="DN84" t="s">
        <v>6</v>
      </c>
      <c r="DO84">
        <v>0</v>
      </c>
      <c r="GQ84">
        <v>-1</v>
      </c>
      <c r="GR84">
        <v>-1</v>
      </c>
    </row>
    <row r="85" spans="1:200" x14ac:dyDescent="0.2">
      <c r="A85">
        <f>ROW(Source!A57)</f>
        <v>57</v>
      </c>
      <c r="B85">
        <v>67643165</v>
      </c>
      <c r="C85">
        <v>67643355</v>
      </c>
      <c r="D85">
        <v>49527726</v>
      </c>
      <c r="E85">
        <v>1</v>
      </c>
      <c r="F85">
        <v>1</v>
      </c>
      <c r="G85">
        <v>1</v>
      </c>
      <c r="H85">
        <v>3</v>
      </c>
      <c r="I85" t="s">
        <v>413</v>
      </c>
      <c r="J85" t="s">
        <v>414</v>
      </c>
      <c r="K85" t="s">
        <v>415</v>
      </c>
      <c r="L85">
        <v>1348</v>
      </c>
      <c r="N85">
        <v>1009</v>
      </c>
      <c r="O85" t="s">
        <v>129</v>
      </c>
      <c r="P85" t="s">
        <v>129</v>
      </c>
      <c r="Q85">
        <v>1000</v>
      </c>
      <c r="W85">
        <v>0</v>
      </c>
      <c r="X85">
        <v>1174253204</v>
      </c>
      <c r="Y85" s="211">
        <f>'6.Ведомость_списания'!F81</f>
        <v>2.5000000000000001E-4</v>
      </c>
      <c r="AA85">
        <v>6691.3</v>
      </c>
      <c r="AB85">
        <v>0</v>
      </c>
      <c r="AC85">
        <v>0</v>
      </c>
      <c r="AD85">
        <v>0</v>
      </c>
      <c r="AE85">
        <v>734.5</v>
      </c>
      <c r="AF85">
        <v>0</v>
      </c>
      <c r="AG85">
        <v>0</v>
      </c>
      <c r="AH85">
        <v>0</v>
      </c>
      <c r="AI85">
        <v>9.11</v>
      </c>
      <c r="AJ85">
        <v>1</v>
      </c>
      <c r="AK85">
        <v>1</v>
      </c>
      <c r="AL85">
        <v>1</v>
      </c>
      <c r="AM85">
        <v>4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6</v>
      </c>
      <c r="AT85">
        <v>2.5000000000000001E-4</v>
      </c>
      <c r="AU85" t="s">
        <v>6</v>
      </c>
      <c r="AV85">
        <v>0</v>
      </c>
      <c r="AW85">
        <v>2</v>
      </c>
      <c r="AX85">
        <v>67643392</v>
      </c>
      <c r="AY85">
        <v>1</v>
      </c>
      <c r="AZ85">
        <v>0</v>
      </c>
      <c r="BA85">
        <v>76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ROUND(Y85*Source!I57,7)</f>
        <v>1.95E-4</v>
      </c>
      <c r="CY85">
        <f t="shared" si="23"/>
        <v>6691.3</v>
      </c>
      <c r="CZ85">
        <f t="shared" si="24"/>
        <v>734.5</v>
      </c>
      <c r="DA85">
        <f t="shared" si="25"/>
        <v>9.11</v>
      </c>
      <c r="DB85">
        <f t="shared" si="29"/>
        <v>0.18</v>
      </c>
      <c r="DC85">
        <f t="shared" si="30"/>
        <v>0</v>
      </c>
      <c r="DD85" t="s">
        <v>6</v>
      </c>
      <c r="DE85" t="s">
        <v>6</v>
      </c>
      <c r="DF85">
        <f t="shared" si="26"/>
        <v>1.3</v>
      </c>
      <c r="DG85">
        <f t="shared" si="27"/>
        <v>0</v>
      </c>
      <c r="DH85">
        <f>Source!I57*SmtRes!Y85</f>
        <v>1.9500000000000002E-4</v>
      </c>
      <c r="DI85">
        <f t="shared" si="28"/>
        <v>6691.3</v>
      </c>
      <c r="DJ85">
        <f>EtalonRes!Y76</f>
        <v>734.5</v>
      </c>
      <c r="DK85" t="e">
        <f>Source!BC57</f>
        <v>#REF!</v>
      </c>
      <c r="DL85" t="s">
        <v>6</v>
      </c>
      <c r="DM85">
        <v>0</v>
      </c>
      <c r="DN85" t="s">
        <v>6</v>
      </c>
      <c r="DO85">
        <v>0</v>
      </c>
      <c r="GQ85">
        <v>-1</v>
      </c>
      <c r="GR85">
        <v>-1</v>
      </c>
    </row>
    <row r="86" spans="1:200" x14ac:dyDescent="0.2">
      <c r="A86">
        <f>ROW(Source!A57)</f>
        <v>57</v>
      </c>
      <c r="B86">
        <v>67643165</v>
      </c>
      <c r="C86">
        <v>67643355</v>
      </c>
      <c r="D86">
        <v>49527747</v>
      </c>
      <c r="E86">
        <v>1</v>
      </c>
      <c r="F86">
        <v>1</v>
      </c>
      <c r="G86">
        <v>1</v>
      </c>
      <c r="H86">
        <v>3</v>
      </c>
      <c r="I86" t="s">
        <v>387</v>
      </c>
      <c r="J86" t="s">
        <v>388</v>
      </c>
      <c r="K86" t="s">
        <v>389</v>
      </c>
      <c r="L86">
        <v>1348</v>
      </c>
      <c r="N86">
        <v>1009</v>
      </c>
      <c r="O86" t="s">
        <v>129</v>
      </c>
      <c r="P86" t="s">
        <v>129</v>
      </c>
      <c r="Q86">
        <v>1000</v>
      </c>
      <c r="W86">
        <v>0</v>
      </c>
      <c r="X86">
        <v>-1212497377</v>
      </c>
      <c r="Y86" s="211">
        <f>'6.Ведомость_списания'!F82</f>
        <v>7.1000000000000004E-3</v>
      </c>
      <c r="AA86">
        <v>3753.32</v>
      </c>
      <c r="AB86">
        <v>0</v>
      </c>
      <c r="AC86">
        <v>0</v>
      </c>
      <c r="AD86">
        <v>0</v>
      </c>
      <c r="AE86">
        <v>412</v>
      </c>
      <c r="AF86">
        <v>0</v>
      </c>
      <c r="AG86">
        <v>0</v>
      </c>
      <c r="AH86">
        <v>0</v>
      </c>
      <c r="AI86">
        <v>9.11</v>
      </c>
      <c r="AJ86">
        <v>1</v>
      </c>
      <c r="AK86">
        <v>1</v>
      </c>
      <c r="AL86">
        <v>1</v>
      </c>
      <c r="AM86">
        <v>4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6</v>
      </c>
      <c r="AT86">
        <v>7.1000000000000004E-3</v>
      </c>
      <c r="AU86" t="s">
        <v>6</v>
      </c>
      <c r="AV86">
        <v>0</v>
      </c>
      <c r="AW86">
        <v>2</v>
      </c>
      <c r="AX86">
        <v>67643393</v>
      </c>
      <c r="AY86">
        <v>1</v>
      </c>
      <c r="AZ86">
        <v>0</v>
      </c>
      <c r="BA86">
        <v>77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V86">
        <v>0</v>
      </c>
      <c r="CW86">
        <v>0</v>
      </c>
      <c r="CX86">
        <f>ROUND(Y86*Source!I57,7)</f>
        <v>5.5380000000000004E-3</v>
      </c>
      <c r="CY86">
        <f t="shared" si="23"/>
        <v>3753.32</v>
      </c>
      <c r="CZ86">
        <f t="shared" si="24"/>
        <v>412</v>
      </c>
      <c r="DA86">
        <f t="shared" si="25"/>
        <v>9.11</v>
      </c>
      <c r="DB86">
        <f t="shared" si="29"/>
        <v>2.93</v>
      </c>
      <c r="DC86">
        <f t="shared" si="30"/>
        <v>0</v>
      </c>
      <c r="DD86" t="s">
        <v>6</v>
      </c>
      <c r="DE86" t="s">
        <v>6</v>
      </c>
      <c r="DF86">
        <f t="shared" si="26"/>
        <v>20.79</v>
      </c>
      <c r="DG86">
        <f t="shared" si="27"/>
        <v>0</v>
      </c>
      <c r="DH86">
        <f>Source!I57*SmtRes!Y86</f>
        <v>5.5380000000000004E-3</v>
      </c>
      <c r="DI86">
        <f t="shared" si="28"/>
        <v>3753.32</v>
      </c>
      <c r="DJ86">
        <f>EtalonRes!Y77</f>
        <v>412</v>
      </c>
      <c r="DK86" t="e">
        <f>Source!BC57</f>
        <v>#REF!</v>
      </c>
      <c r="DL86" t="s">
        <v>6</v>
      </c>
      <c r="DM86">
        <v>0</v>
      </c>
      <c r="DN86" t="s">
        <v>6</v>
      </c>
      <c r="DO86">
        <v>0</v>
      </c>
      <c r="GQ86">
        <v>-1</v>
      </c>
      <c r="GR86">
        <v>-1</v>
      </c>
    </row>
    <row r="87" spans="1:200" x14ac:dyDescent="0.2">
      <c r="A87">
        <f>ROW(Source!A57)</f>
        <v>57</v>
      </c>
      <c r="B87">
        <v>67643165</v>
      </c>
      <c r="C87">
        <v>67643355</v>
      </c>
      <c r="D87">
        <v>49528283</v>
      </c>
      <c r="E87">
        <v>1</v>
      </c>
      <c r="F87">
        <v>1</v>
      </c>
      <c r="G87">
        <v>1</v>
      </c>
      <c r="H87">
        <v>3</v>
      </c>
      <c r="I87" t="s">
        <v>390</v>
      </c>
      <c r="J87" t="s">
        <v>391</v>
      </c>
      <c r="K87" t="s">
        <v>392</v>
      </c>
      <c r="L87">
        <v>1339</v>
      </c>
      <c r="N87">
        <v>1007</v>
      </c>
      <c r="O87" t="s">
        <v>33</v>
      </c>
      <c r="P87" t="s">
        <v>33</v>
      </c>
      <c r="Q87">
        <v>1</v>
      </c>
      <c r="W87">
        <v>0</v>
      </c>
      <c r="X87">
        <v>1709400143</v>
      </c>
      <c r="Y87" s="211">
        <f>'6.Ведомость_списания'!F83</f>
        <v>1.41</v>
      </c>
      <c r="AA87">
        <v>4970.42</v>
      </c>
      <c r="AB87">
        <v>0</v>
      </c>
      <c r="AC87">
        <v>0</v>
      </c>
      <c r="AD87">
        <v>0</v>
      </c>
      <c r="AE87">
        <v>545.6</v>
      </c>
      <c r="AF87">
        <v>0</v>
      </c>
      <c r="AG87">
        <v>0</v>
      </c>
      <c r="AH87">
        <v>0</v>
      </c>
      <c r="AI87">
        <v>9.11</v>
      </c>
      <c r="AJ87">
        <v>1</v>
      </c>
      <c r="AK87">
        <v>1</v>
      </c>
      <c r="AL87">
        <v>1</v>
      </c>
      <c r="AM87">
        <v>4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6</v>
      </c>
      <c r="AT87">
        <v>1.41</v>
      </c>
      <c r="AU87" t="s">
        <v>6</v>
      </c>
      <c r="AV87">
        <v>0</v>
      </c>
      <c r="AW87">
        <v>2</v>
      </c>
      <c r="AX87">
        <v>67643394</v>
      </c>
      <c r="AY87">
        <v>1</v>
      </c>
      <c r="AZ87">
        <v>0</v>
      </c>
      <c r="BA87">
        <v>78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ROUND(Y87*Source!I57,7)</f>
        <v>1.0998000000000001</v>
      </c>
      <c r="CY87">
        <f t="shared" si="23"/>
        <v>4970.42</v>
      </c>
      <c r="CZ87">
        <f t="shared" si="24"/>
        <v>545.6</v>
      </c>
      <c r="DA87">
        <f t="shared" si="25"/>
        <v>9.11</v>
      </c>
      <c r="DB87">
        <f t="shared" si="29"/>
        <v>769.3</v>
      </c>
      <c r="DC87">
        <f t="shared" si="30"/>
        <v>0</v>
      </c>
      <c r="DD87" t="s">
        <v>6</v>
      </c>
      <c r="DE87" t="s">
        <v>6</v>
      </c>
      <c r="DF87">
        <f t="shared" si="26"/>
        <v>5466.47</v>
      </c>
      <c r="DG87">
        <f t="shared" si="27"/>
        <v>0</v>
      </c>
      <c r="DH87">
        <f>Source!I57*SmtRes!Y87</f>
        <v>1.0997999999999999</v>
      </c>
      <c r="DI87">
        <f t="shared" si="28"/>
        <v>4970.42</v>
      </c>
      <c r="DJ87">
        <f>EtalonRes!Y78</f>
        <v>545.6</v>
      </c>
      <c r="DK87" t="e">
        <f>Source!BC57</f>
        <v>#REF!</v>
      </c>
      <c r="DL87" t="s">
        <v>6</v>
      </c>
      <c r="DM87">
        <v>0</v>
      </c>
      <c r="DN87" t="s">
        <v>6</v>
      </c>
      <c r="DO87">
        <v>0</v>
      </c>
      <c r="GQ87">
        <v>-1</v>
      </c>
      <c r="GR87">
        <v>-1</v>
      </c>
    </row>
    <row r="88" spans="1:200" x14ac:dyDescent="0.2">
      <c r="A88">
        <f>ROW(Source!A57)</f>
        <v>57</v>
      </c>
      <c r="B88">
        <v>67643165</v>
      </c>
      <c r="C88">
        <v>67643355</v>
      </c>
      <c r="D88">
        <v>49528288</v>
      </c>
      <c r="E88">
        <v>1</v>
      </c>
      <c r="F88">
        <v>1</v>
      </c>
      <c r="G88">
        <v>1</v>
      </c>
      <c r="H88">
        <v>3</v>
      </c>
      <c r="I88" t="s">
        <v>102</v>
      </c>
      <c r="J88" t="s">
        <v>104</v>
      </c>
      <c r="K88" t="s">
        <v>103</v>
      </c>
      <c r="L88">
        <v>1339</v>
      </c>
      <c r="N88">
        <v>1007</v>
      </c>
      <c r="O88" t="s">
        <v>33</v>
      </c>
      <c r="P88" t="s">
        <v>33</v>
      </c>
      <c r="Q88">
        <v>1</v>
      </c>
      <c r="W88">
        <v>1</v>
      </c>
      <c r="X88">
        <v>2039656126</v>
      </c>
      <c r="Y88">
        <f t="shared" ref="Y88:Y112" si="31">AT88</f>
        <v>-0.9</v>
      </c>
      <c r="AA88">
        <v>5400.04</v>
      </c>
      <c r="AB88">
        <v>0</v>
      </c>
      <c r="AC88">
        <v>0</v>
      </c>
      <c r="AD88">
        <v>0</v>
      </c>
      <c r="AE88">
        <v>592.76</v>
      </c>
      <c r="AF88">
        <v>0</v>
      </c>
      <c r="AG88">
        <v>0</v>
      </c>
      <c r="AH88">
        <v>0</v>
      </c>
      <c r="AI88">
        <v>9.11</v>
      </c>
      <c r="AJ88">
        <v>1</v>
      </c>
      <c r="AK88">
        <v>1</v>
      </c>
      <c r="AL88">
        <v>1</v>
      </c>
      <c r="AM88">
        <v>0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6</v>
      </c>
      <c r="AT88">
        <v>-0.9</v>
      </c>
      <c r="AU88" t="s">
        <v>6</v>
      </c>
      <c r="AV88">
        <v>0</v>
      </c>
      <c r="AW88">
        <v>2</v>
      </c>
      <c r="AX88">
        <v>67643395</v>
      </c>
      <c r="AY88">
        <v>1</v>
      </c>
      <c r="AZ88">
        <v>6144</v>
      </c>
      <c r="BA88">
        <v>79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ROUND(Y88*Source!I57,7)</f>
        <v>-0.70199999999999996</v>
      </c>
      <c r="CY88">
        <f t="shared" si="23"/>
        <v>5400.04</v>
      </c>
      <c r="CZ88">
        <f t="shared" si="24"/>
        <v>592.76</v>
      </c>
      <c r="DA88">
        <f t="shared" si="25"/>
        <v>9.11</v>
      </c>
      <c r="DB88">
        <f t="shared" si="29"/>
        <v>-533.48</v>
      </c>
      <c r="DC88">
        <f t="shared" si="30"/>
        <v>0</v>
      </c>
      <c r="DD88" t="s">
        <v>6</v>
      </c>
      <c r="DE88" t="s">
        <v>6</v>
      </c>
      <c r="DF88">
        <f t="shared" si="26"/>
        <v>-3790.83</v>
      </c>
      <c r="DG88">
        <f t="shared" si="27"/>
        <v>0</v>
      </c>
      <c r="DH88">
        <f>Source!I57*SmtRes!Y88</f>
        <v>-0.70200000000000007</v>
      </c>
      <c r="DI88">
        <f t="shared" si="28"/>
        <v>5400.04</v>
      </c>
      <c r="DJ88">
        <f>EtalonRes!Y79</f>
        <v>592.76</v>
      </c>
      <c r="DK88" t="e">
        <f>Source!BC57</f>
        <v>#REF!</v>
      </c>
      <c r="DL88" t="s">
        <v>6</v>
      </c>
      <c r="DM88">
        <v>0</v>
      </c>
      <c r="DN88" t="s">
        <v>6</v>
      </c>
      <c r="DO88">
        <v>0</v>
      </c>
      <c r="GP88">
        <v>0</v>
      </c>
      <c r="GQ88">
        <v>-1</v>
      </c>
      <c r="GR88">
        <v>-1</v>
      </c>
    </row>
    <row r="89" spans="1:200" x14ac:dyDescent="0.2">
      <c r="A89">
        <f>ROW(Source!A57)</f>
        <v>57</v>
      </c>
      <c r="B89">
        <v>67643165</v>
      </c>
      <c r="C89">
        <v>67643355</v>
      </c>
      <c r="D89">
        <v>49528288</v>
      </c>
      <c r="E89">
        <v>1</v>
      </c>
      <c r="F89">
        <v>1</v>
      </c>
      <c r="G89">
        <v>1</v>
      </c>
      <c r="H89">
        <v>3</v>
      </c>
      <c r="I89" t="s">
        <v>102</v>
      </c>
      <c r="J89" t="s">
        <v>104</v>
      </c>
      <c r="K89" t="s">
        <v>103</v>
      </c>
      <c r="L89">
        <v>1339</v>
      </c>
      <c r="N89">
        <v>1007</v>
      </c>
      <c r="O89" t="s">
        <v>33</v>
      </c>
      <c r="P89" t="s">
        <v>33</v>
      </c>
      <c r="Q89">
        <v>1</v>
      </c>
      <c r="W89">
        <v>0</v>
      </c>
      <c r="X89">
        <v>2039656126</v>
      </c>
      <c r="Y89">
        <f t="shared" si="31"/>
        <v>3.0320513</v>
      </c>
      <c r="AA89">
        <v>5400.04</v>
      </c>
      <c r="AB89">
        <v>0</v>
      </c>
      <c r="AC89">
        <v>0</v>
      </c>
      <c r="AD89">
        <v>0</v>
      </c>
      <c r="AE89">
        <v>592.76</v>
      </c>
      <c r="AF89">
        <v>0</v>
      </c>
      <c r="AG89">
        <v>0</v>
      </c>
      <c r="AH89">
        <v>0</v>
      </c>
      <c r="AI89">
        <v>9.11</v>
      </c>
      <c r="AJ89">
        <v>1</v>
      </c>
      <c r="AK89">
        <v>1</v>
      </c>
      <c r="AL89">
        <v>1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 t="s">
        <v>6</v>
      </c>
      <c r="AT89">
        <v>3.0320513</v>
      </c>
      <c r="AU89" t="s">
        <v>6</v>
      </c>
      <c r="AV89">
        <v>0</v>
      </c>
      <c r="AW89">
        <v>1</v>
      </c>
      <c r="AX89">
        <v>-1</v>
      </c>
      <c r="AY89">
        <v>0</v>
      </c>
      <c r="AZ89">
        <v>0</v>
      </c>
      <c r="BA89" t="s">
        <v>6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v>0</v>
      </c>
      <c r="CX89">
        <f>ROUND(Y89*Source!I57,7)</f>
        <v>2.3650000000000002</v>
      </c>
      <c r="CY89">
        <f t="shared" si="23"/>
        <v>5400.04</v>
      </c>
      <c r="CZ89">
        <f t="shared" si="24"/>
        <v>592.76</v>
      </c>
      <c r="DA89">
        <f t="shared" si="25"/>
        <v>9.11</v>
      </c>
      <c r="DB89">
        <f t="shared" si="29"/>
        <v>1797.28</v>
      </c>
      <c r="DC89">
        <f t="shared" si="30"/>
        <v>0</v>
      </c>
      <c r="DD89" t="s">
        <v>6</v>
      </c>
      <c r="DE89" t="s">
        <v>6</v>
      </c>
      <c r="DF89">
        <f t="shared" si="26"/>
        <v>12771.09</v>
      </c>
      <c r="DG89">
        <f t="shared" si="27"/>
        <v>0</v>
      </c>
      <c r="DH89">
        <f>Source!I57*SmtRes!Y89</f>
        <v>2.365000014</v>
      </c>
      <c r="DI89">
        <f t="shared" si="28"/>
        <v>5400.04</v>
      </c>
      <c r="DJ89">
        <f t="shared" ref="DJ89:DJ95" si="32">DF89</f>
        <v>12771.09</v>
      </c>
      <c r="DK89" t="e">
        <f>Source!BC57</f>
        <v>#REF!</v>
      </c>
      <c r="DL89" t="s">
        <v>6</v>
      </c>
      <c r="DM89">
        <v>0</v>
      </c>
      <c r="DN89" t="s">
        <v>6</v>
      </c>
      <c r="DO89">
        <v>0</v>
      </c>
      <c r="GP89">
        <v>1</v>
      </c>
      <c r="GQ89">
        <v>-1</v>
      </c>
      <c r="GR89">
        <v>-1</v>
      </c>
    </row>
    <row r="90" spans="1:200" x14ac:dyDescent="0.2">
      <c r="A90">
        <f>ROW(Source!A57)</f>
        <v>57</v>
      </c>
      <c r="B90">
        <v>67643165</v>
      </c>
      <c r="C90">
        <v>67643355</v>
      </c>
      <c r="D90">
        <v>49528386</v>
      </c>
      <c r="E90">
        <v>1</v>
      </c>
      <c r="F90">
        <v>1</v>
      </c>
      <c r="G90">
        <v>1</v>
      </c>
      <c r="H90">
        <v>3</v>
      </c>
      <c r="I90" t="s">
        <v>393</v>
      </c>
      <c r="J90" t="s">
        <v>394</v>
      </c>
      <c r="K90" t="s">
        <v>395</v>
      </c>
      <c r="L90">
        <v>1348</v>
      </c>
      <c r="N90">
        <v>1009</v>
      </c>
      <c r="O90" t="s">
        <v>129</v>
      </c>
      <c r="P90" t="s">
        <v>129</v>
      </c>
      <c r="Q90">
        <v>1000</v>
      </c>
      <c r="W90">
        <v>0</v>
      </c>
      <c r="X90">
        <v>1013174817</v>
      </c>
      <c r="Y90" s="211">
        <f>'6.Ведомость_списания'!F84</f>
        <v>0.24</v>
      </c>
      <c r="AA90">
        <v>4473.1000000000004</v>
      </c>
      <c r="AB90">
        <v>0</v>
      </c>
      <c r="AC90">
        <v>0</v>
      </c>
      <c r="AD90">
        <v>0</v>
      </c>
      <c r="AE90">
        <v>491.01</v>
      </c>
      <c r="AF90">
        <v>0</v>
      </c>
      <c r="AG90">
        <v>0</v>
      </c>
      <c r="AH90">
        <v>0</v>
      </c>
      <c r="AI90">
        <v>9.11</v>
      </c>
      <c r="AJ90">
        <v>1</v>
      </c>
      <c r="AK90">
        <v>1</v>
      </c>
      <c r="AL90">
        <v>1</v>
      </c>
      <c r="AM90">
        <v>4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6</v>
      </c>
      <c r="AT90">
        <v>0.24</v>
      </c>
      <c r="AU90" t="s">
        <v>6</v>
      </c>
      <c r="AV90">
        <v>0</v>
      </c>
      <c r="AW90">
        <v>2</v>
      </c>
      <c r="AX90">
        <v>67643396</v>
      </c>
      <c r="AY90">
        <v>1</v>
      </c>
      <c r="AZ90">
        <v>0</v>
      </c>
      <c r="BA90">
        <v>80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ROUND(Y90*Source!I57,7)</f>
        <v>0.18720000000000001</v>
      </c>
      <c r="CY90">
        <f t="shared" si="23"/>
        <v>4473.1000000000004</v>
      </c>
      <c r="CZ90">
        <f t="shared" si="24"/>
        <v>491.01</v>
      </c>
      <c r="DA90">
        <f t="shared" si="25"/>
        <v>9.11</v>
      </c>
      <c r="DB90">
        <f t="shared" si="29"/>
        <v>117.84</v>
      </c>
      <c r="DC90">
        <f t="shared" si="30"/>
        <v>0</v>
      </c>
      <c r="DD90" t="s">
        <v>6</v>
      </c>
      <c r="DE90" t="s">
        <v>6</v>
      </c>
      <c r="DF90">
        <f t="shared" si="26"/>
        <v>837.36</v>
      </c>
      <c r="DG90">
        <f t="shared" si="27"/>
        <v>0</v>
      </c>
      <c r="DH90">
        <f>Source!I57*SmtRes!Y90</f>
        <v>0.18720000000000001</v>
      </c>
      <c r="DI90">
        <f t="shared" si="28"/>
        <v>4473.1000000000004</v>
      </c>
      <c r="DJ90">
        <f>EtalonRes!Y80</f>
        <v>491.01</v>
      </c>
      <c r="DK90" t="e">
        <f>Source!BC57</f>
        <v>#REF!</v>
      </c>
      <c r="DL90" t="s">
        <v>6</v>
      </c>
      <c r="DM90">
        <v>0</v>
      </c>
      <c r="DN90" t="s">
        <v>6</v>
      </c>
      <c r="DO90">
        <v>0</v>
      </c>
      <c r="GQ90">
        <v>-1</v>
      </c>
      <c r="GR90">
        <v>-1</v>
      </c>
    </row>
    <row r="91" spans="1:200" x14ac:dyDescent="0.2">
      <c r="A91">
        <f>ROW(Source!A57)</f>
        <v>57</v>
      </c>
      <c r="B91">
        <v>67643165</v>
      </c>
      <c r="C91">
        <v>67643355</v>
      </c>
      <c r="D91">
        <v>49528500</v>
      </c>
      <c r="E91">
        <v>1</v>
      </c>
      <c r="F91">
        <v>1</v>
      </c>
      <c r="G91">
        <v>1</v>
      </c>
      <c r="H91">
        <v>3</v>
      </c>
      <c r="I91" t="s">
        <v>396</v>
      </c>
      <c r="J91" t="s">
        <v>397</v>
      </c>
      <c r="K91" t="s">
        <v>398</v>
      </c>
      <c r="L91">
        <v>1339</v>
      </c>
      <c r="N91">
        <v>1007</v>
      </c>
      <c r="O91" t="s">
        <v>33</v>
      </c>
      <c r="P91" t="s">
        <v>33</v>
      </c>
      <c r="Q91">
        <v>1</v>
      </c>
      <c r="W91">
        <v>0</v>
      </c>
      <c r="X91">
        <v>-969632993</v>
      </c>
      <c r="Y91" s="211">
        <f>'6.Ведомость_списания'!F85</f>
        <v>4.4999999999999998E-2</v>
      </c>
      <c r="AA91">
        <v>3598.45</v>
      </c>
      <c r="AB91">
        <v>0</v>
      </c>
      <c r="AC91">
        <v>0</v>
      </c>
      <c r="AD91">
        <v>0</v>
      </c>
      <c r="AE91">
        <v>395</v>
      </c>
      <c r="AF91">
        <v>0</v>
      </c>
      <c r="AG91">
        <v>0</v>
      </c>
      <c r="AH91">
        <v>0</v>
      </c>
      <c r="AI91">
        <v>9.11</v>
      </c>
      <c r="AJ91">
        <v>1</v>
      </c>
      <c r="AK91">
        <v>1</v>
      </c>
      <c r="AL91">
        <v>1</v>
      </c>
      <c r="AM91">
        <v>4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6</v>
      </c>
      <c r="AT91">
        <v>4.4999999999999998E-2</v>
      </c>
      <c r="AU91" t="s">
        <v>6</v>
      </c>
      <c r="AV91">
        <v>0</v>
      </c>
      <c r="AW91">
        <v>2</v>
      </c>
      <c r="AX91">
        <v>67643397</v>
      </c>
      <c r="AY91">
        <v>1</v>
      </c>
      <c r="AZ91">
        <v>0</v>
      </c>
      <c r="BA91">
        <v>81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ROUND(Y91*Source!I57,7)</f>
        <v>3.5099999999999999E-2</v>
      </c>
      <c r="CY91">
        <f t="shared" si="23"/>
        <v>3598.45</v>
      </c>
      <c r="CZ91">
        <f t="shared" si="24"/>
        <v>395</v>
      </c>
      <c r="DA91">
        <f t="shared" si="25"/>
        <v>9.11</v>
      </c>
      <c r="DB91">
        <f t="shared" si="29"/>
        <v>17.78</v>
      </c>
      <c r="DC91">
        <f t="shared" si="30"/>
        <v>0</v>
      </c>
      <c r="DD91" t="s">
        <v>6</v>
      </c>
      <c r="DE91" t="s">
        <v>6</v>
      </c>
      <c r="DF91">
        <f t="shared" si="26"/>
        <v>126.31</v>
      </c>
      <c r="DG91">
        <f t="shared" si="27"/>
        <v>0</v>
      </c>
      <c r="DH91">
        <f>Source!I57*SmtRes!Y91</f>
        <v>3.5099999999999999E-2</v>
      </c>
      <c r="DI91">
        <f t="shared" si="28"/>
        <v>3598.45</v>
      </c>
      <c r="DJ91">
        <f>EtalonRes!Y81</f>
        <v>395</v>
      </c>
      <c r="DK91" t="e">
        <f>Source!BC57</f>
        <v>#REF!</v>
      </c>
      <c r="DL91" t="s">
        <v>6</v>
      </c>
      <c r="DM91">
        <v>0</v>
      </c>
      <c r="DN91" t="s">
        <v>6</v>
      </c>
      <c r="DO91">
        <v>0</v>
      </c>
      <c r="GQ91">
        <v>-1</v>
      </c>
      <c r="GR91">
        <v>-1</v>
      </c>
    </row>
    <row r="92" spans="1:200" x14ac:dyDescent="0.2">
      <c r="A92">
        <f>ROW(Source!A57)</f>
        <v>57</v>
      </c>
      <c r="B92">
        <v>67643165</v>
      </c>
      <c r="C92">
        <v>67643355</v>
      </c>
      <c r="D92">
        <v>49528527</v>
      </c>
      <c r="E92">
        <v>1</v>
      </c>
      <c r="F92">
        <v>1</v>
      </c>
      <c r="G92">
        <v>1</v>
      </c>
      <c r="H92">
        <v>3</v>
      </c>
      <c r="I92" t="s">
        <v>416</v>
      </c>
      <c r="J92" t="s">
        <v>417</v>
      </c>
      <c r="K92" t="s">
        <v>418</v>
      </c>
      <c r="L92">
        <v>1339</v>
      </c>
      <c r="N92">
        <v>1007</v>
      </c>
      <c r="O92" t="s">
        <v>33</v>
      </c>
      <c r="P92" t="s">
        <v>33</v>
      </c>
      <c r="Q92">
        <v>1</v>
      </c>
      <c r="W92">
        <v>0</v>
      </c>
      <c r="X92">
        <v>461598558</v>
      </c>
      <c r="Y92" s="211">
        <f>'6.Ведомость_списания'!F86</f>
        <v>0.4</v>
      </c>
      <c r="AA92">
        <v>4735.38</v>
      </c>
      <c r="AB92">
        <v>0</v>
      </c>
      <c r="AC92">
        <v>0</v>
      </c>
      <c r="AD92">
        <v>0</v>
      </c>
      <c r="AE92">
        <v>519.79999999999995</v>
      </c>
      <c r="AF92">
        <v>0</v>
      </c>
      <c r="AG92">
        <v>0</v>
      </c>
      <c r="AH92">
        <v>0</v>
      </c>
      <c r="AI92">
        <v>9.11</v>
      </c>
      <c r="AJ92">
        <v>1</v>
      </c>
      <c r="AK92">
        <v>1</v>
      </c>
      <c r="AL92">
        <v>1</v>
      </c>
      <c r="AM92">
        <v>4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6</v>
      </c>
      <c r="AT92">
        <v>0.4</v>
      </c>
      <c r="AU92" t="s">
        <v>6</v>
      </c>
      <c r="AV92">
        <v>0</v>
      </c>
      <c r="AW92">
        <v>2</v>
      </c>
      <c r="AX92">
        <v>67643398</v>
      </c>
      <c r="AY92">
        <v>1</v>
      </c>
      <c r="AZ92">
        <v>0</v>
      </c>
      <c r="BA92">
        <v>82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ROUND(Y92*Source!I57,7)</f>
        <v>0.312</v>
      </c>
      <c r="CY92">
        <f t="shared" si="23"/>
        <v>4735.38</v>
      </c>
      <c r="CZ92">
        <f t="shared" si="24"/>
        <v>519.79999999999995</v>
      </c>
      <c r="DA92">
        <f t="shared" si="25"/>
        <v>9.11</v>
      </c>
      <c r="DB92">
        <f t="shared" si="29"/>
        <v>207.92</v>
      </c>
      <c r="DC92">
        <f t="shared" si="30"/>
        <v>0</v>
      </c>
      <c r="DD92" t="s">
        <v>6</v>
      </c>
      <c r="DE92" t="s">
        <v>6</v>
      </c>
      <c r="DF92">
        <f t="shared" si="26"/>
        <v>1477.44</v>
      </c>
      <c r="DG92">
        <f t="shared" si="27"/>
        <v>0</v>
      </c>
      <c r="DH92">
        <f>Source!I57*SmtRes!Y92</f>
        <v>0.31200000000000006</v>
      </c>
      <c r="DI92">
        <f t="shared" si="28"/>
        <v>4735.38</v>
      </c>
      <c r="DJ92">
        <f>EtalonRes!Y82</f>
        <v>519.79999999999995</v>
      </c>
      <c r="DK92" t="e">
        <f>Source!BC57</f>
        <v>#REF!</v>
      </c>
      <c r="DL92" t="s">
        <v>6</v>
      </c>
      <c r="DM92">
        <v>0</v>
      </c>
      <c r="DN92" t="s">
        <v>6</v>
      </c>
      <c r="DO92">
        <v>0</v>
      </c>
      <c r="GQ92">
        <v>-1</v>
      </c>
      <c r="GR92">
        <v>-1</v>
      </c>
    </row>
    <row r="93" spans="1:200" x14ac:dyDescent="0.2">
      <c r="A93">
        <f>ROW(Source!A57)</f>
        <v>57</v>
      </c>
      <c r="B93">
        <v>67643165</v>
      </c>
      <c r="C93">
        <v>67643355</v>
      </c>
      <c r="D93">
        <v>49529466</v>
      </c>
      <c r="E93">
        <v>1</v>
      </c>
      <c r="F93">
        <v>1</v>
      </c>
      <c r="G93">
        <v>1</v>
      </c>
      <c r="H93">
        <v>3</v>
      </c>
      <c r="I93" t="s">
        <v>168</v>
      </c>
      <c r="J93" t="s">
        <v>170</v>
      </c>
      <c r="K93" t="s">
        <v>169</v>
      </c>
      <c r="L93">
        <v>1371</v>
      </c>
      <c r="N93">
        <v>1013</v>
      </c>
      <c r="O93" t="s">
        <v>99</v>
      </c>
      <c r="P93" t="s">
        <v>99</v>
      </c>
      <c r="Q93">
        <v>1</v>
      </c>
      <c r="W93">
        <v>0</v>
      </c>
      <c r="X93">
        <v>21621353</v>
      </c>
      <c r="Y93">
        <f t="shared" si="31"/>
        <v>14.1025641</v>
      </c>
      <c r="AA93">
        <v>3615.03</v>
      </c>
      <c r="AB93">
        <v>0</v>
      </c>
      <c r="AC93">
        <v>0</v>
      </c>
      <c r="AD93">
        <v>0</v>
      </c>
      <c r="AE93">
        <v>396.82</v>
      </c>
      <c r="AF93">
        <v>0</v>
      </c>
      <c r="AG93">
        <v>0</v>
      </c>
      <c r="AH93">
        <v>0</v>
      </c>
      <c r="AI93">
        <v>9.11</v>
      </c>
      <c r="AJ93">
        <v>1</v>
      </c>
      <c r="AK93">
        <v>1</v>
      </c>
      <c r="AL93">
        <v>1</v>
      </c>
      <c r="AM93">
        <v>0</v>
      </c>
      <c r="AN93">
        <v>1</v>
      </c>
      <c r="AO93">
        <v>0</v>
      </c>
      <c r="AP93">
        <v>1</v>
      </c>
      <c r="AQ93">
        <v>0</v>
      </c>
      <c r="AR93">
        <v>0</v>
      </c>
      <c r="AS93" t="s">
        <v>6</v>
      </c>
      <c r="AT93">
        <v>14.1025641</v>
      </c>
      <c r="AU93" t="s">
        <v>6</v>
      </c>
      <c r="AV93">
        <v>0</v>
      </c>
      <c r="AW93">
        <v>1</v>
      </c>
      <c r="AX93">
        <v>-1</v>
      </c>
      <c r="AY93">
        <v>0</v>
      </c>
      <c r="AZ93">
        <v>0</v>
      </c>
      <c r="BA93" t="s">
        <v>6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ROUND(Y93*Source!I57,7)</f>
        <v>11</v>
      </c>
      <c r="CY93">
        <f t="shared" si="23"/>
        <v>3615.03</v>
      </c>
      <c r="CZ93">
        <f t="shared" si="24"/>
        <v>396.82</v>
      </c>
      <c r="DA93">
        <f t="shared" si="25"/>
        <v>9.11</v>
      </c>
      <c r="DB93">
        <f t="shared" si="29"/>
        <v>5596.18</v>
      </c>
      <c r="DC93">
        <f t="shared" si="30"/>
        <v>0</v>
      </c>
      <c r="DD93" t="s">
        <v>6</v>
      </c>
      <c r="DE93" t="s">
        <v>6</v>
      </c>
      <c r="DF93">
        <f t="shared" si="26"/>
        <v>39765.33</v>
      </c>
      <c r="DG93">
        <f t="shared" si="27"/>
        <v>0</v>
      </c>
      <c r="DH93">
        <f>Source!I57*SmtRes!Y93</f>
        <v>10.999999998</v>
      </c>
      <c r="DI93">
        <f t="shared" si="28"/>
        <v>3615.03</v>
      </c>
      <c r="DJ93">
        <f t="shared" si="32"/>
        <v>39765.33</v>
      </c>
      <c r="DK93" t="e">
        <f>Source!BC57</f>
        <v>#REF!</v>
      </c>
      <c r="DL93" t="s">
        <v>6</v>
      </c>
      <c r="DM93">
        <v>0</v>
      </c>
      <c r="DN93" t="s">
        <v>6</v>
      </c>
      <c r="DO93">
        <v>0</v>
      </c>
      <c r="GP93">
        <v>1</v>
      </c>
      <c r="GQ93">
        <v>-1</v>
      </c>
      <c r="GR93">
        <v>-1</v>
      </c>
    </row>
    <row r="94" spans="1:200" x14ac:dyDescent="0.2">
      <c r="A94">
        <f>ROW(Source!A57)</f>
        <v>57</v>
      </c>
      <c r="B94">
        <v>67643165</v>
      </c>
      <c r="C94">
        <v>67643355</v>
      </c>
      <c r="D94">
        <v>49529647</v>
      </c>
      <c r="E94">
        <v>1</v>
      </c>
      <c r="F94">
        <v>1</v>
      </c>
      <c r="G94">
        <v>1</v>
      </c>
      <c r="H94">
        <v>3</v>
      </c>
      <c r="I94" t="s">
        <v>97</v>
      </c>
      <c r="J94" t="s">
        <v>100</v>
      </c>
      <c r="K94" t="s">
        <v>98</v>
      </c>
      <c r="L94">
        <v>1371</v>
      </c>
      <c r="N94">
        <v>1013</v>
      </c>
      <c r="O94" t="s">
        <v>99</v>
      </c>
      <c r="P94" t="s">
        <v>99</v>
      </c>
      <c r="Q94">
        <v>1</v>
      </c>
      <c r="W94">
        <v>0</v>
      </c>
      <c r="X94">
        <v>1854240702</v>
      </c>
      <c r="Y94">
        <f t="shared" si="31"/>
        <v>14.1025641</v>
      </c>
      <c r="AA94">
        <v>1963.02</v>
      </c>
      <c r="AB94">
        <v>0</v>
      </c>
      <c r="AC94">
        <v>0</v>
      </c>
      <c r="AD94">
        <v>0</v>
      </c>
      <c r="AE94">
        <v>215.48</v>
      </c>
      <c r="AF94">
        <v>0</v>
      </c>
      <c r="AG94">
        <v>0</v>
      </c>
      <c r="AH94">
        <v>0</v>
      </c>
      <c r="AI94">
        <v>9.11</v>
      </c>
      <c r="AJ94">
        <v>1</v>
      </c>
      <c r="AK94">
        <v>1</v>
      </c>
      <c r="AL94">
        <v>1</v>
      </c>
      <c r="AM94">
        <v>0</v>
      </c>
      <c r="AN94">
        <v>1</v>
      </c>
      <c r="AO94">
        <v>0</v>
      </c>
      <c r="AP94">
        <v>0</v>
      </c>
      <c r="AQ94">
        <v>0</v>
      </c>
      <c r="AR94">
        <v>0</v>
      </c>
      <c r="AS94" t="s">
        <v>6</v>
      </c>
      <c r="AT94">
        <v>14.1025641</v>
      </c>
      <c r="AU94" t="s">
        <v>6</v>
      </c>
      <c r="AV94">
        <v>0</v>
      </c>
      <c r="AW94">
        <v>1</v>
      </c>
      <c r="AX94">
        <v>-1</v>
      </c>
      <c r="AY94">
        <v>0</v>
      </c>
      <c r="AZ94">
        <v>0</v>
      </c>
      <c r="BA94" t="s">
        <v>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ROUND(Y94*Source!I57,7)</f>
        <v>11</v>
      </c>
      <c r="CY94">
        <f t="shared" si="23"/>
        <v>1963.02</v>
      </c>
      <c r="CZ94">
        <f t="shared" si="24"/>
        <v>215.48</v>
      </c>
      <c r="DA94">
        <f t="shared" si="25"/>
        <v>9.11</v>
      </c>
      <c r="DB94">
        <f t="shared" si="29"/>
        <v>3038.82</v>
      </c>
      <c r="DC94">
        <f t="shared" si="30"/>
        <v>0</v>
      </c>
      <c r="DD94" t="s">
        <v>6</v>
      </c>
      <c r="DE94" t="s">
        <v>6</v>
      </c>
      <c r="DF94">
        <f t="shared" si="26"/>
        <v>21593.22</v>
      </c>
      <c r="DG94">
        <f t="shared" si="27"/>
        <v>0</v>
      </c>
      <c r="DH94">
        <f>Source!I57*SmtRes!Y94</f>
        <v>10.999999998</v>
      </c>
      <c r="DI94">
        <f t="shared" si="28"/>
        <v>1963.02</v>
      </c>
      <c r="DJ94">
        <f t="shared" si="32"/>
        <v>21593.22</v>
      </c>
      <c r="DK94" t="e">
        <f>Source!BC57</f>
        <v>#REF!</v>
      </c>
      <c r="DL94" t="s">
        <v>6</v>
      </c>
      <c r="DM94">
        <v>0</v>
      </c>
      <c r="DN94" t="s">
        <v>6</v>
      </c>
      <c r="DO94">
        <v>0</v>
      </c>
      <c r="GP94">
        <v>1</v>
      </c>
      <c r="GQ94">
        <v>-1</v>
      </c>
      <c r="GR94">
        <v>-1</v>
      </c>
    </row>
    <row r="95" spans="1:200" x14ac:dyDescent="0.2">
      <c r="A95">
        <f>ROW(Source!A57)</f>
        <v>57</v>
      </c>
      <c r="B95">
        <v>67643165</v>
      </c>
      <c r="C95">
        <v>67643355</v>
      </c>
      <c r="D95">
        <v>49529687</v>
      </c>
      <c r="E95">
        <v>1</v>
      </c>
      <c r="F95">
        <v>1</v>
      </c>
      <c r="G95">
        <v>1</v>
      </c>
      <c r="H95">
        <v>3</v>
      </c>
      <c r="I95" t="s">
        <v>172</v>
      </c>
      <c r="J95" t="s">
        <v>174</v>
      </c>
      <c r="K95" t="s">
        <v>173</v>
      </c>
      <c r="L95">
        <v>1339</v>
      </c>
      <c r="N95">
        <v>1007</v>
      </c>
      <c r="O95" t="s">
        <v>33</v>
      </c>
      <c r="P95" t="s">
        <v>33</v>
      </c>
      <c r="Q95">
        <v>1</v>
      </c>
      <c r="W95">
        <v>0</v>
      </c>
      <c r="X95">
        <v>-497633904</v>
      </c>
      <c r="Y95">
        <f t="shared" si="31"/>
        <v>1.2692308000000001</v>
      </c>
      <c r="AA95">
        <v>16033.6</v>
      </c>
      <c r="AB95">
        <v>0</v>
      </c>
      <c r="AC95">
        <v>0</v>
      </c>
      <c r="AD95">
        <v>0</v>
      </c>
      <c r="AE95">
        <v>1760</v>
      </c>
      <c r="AF95">
        <v>0</v>
      </c>
      <c r="AG95">
        <v>0</v>
      </c>
      <c r="AH95">
        <v>0</v>
      </c>
      <c r="AI95">
        <v>9.11</v>
      </c>
      <c r="AJ95">
        <v>1</v>
      </c>
      <c r="AK95">
        <v>1</v>
      </c>
      <c r="AL95">
        <v>1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 t="s">
        <v>6</v>
      </c>
      <c r="AT95">
        <v>1.2692308000000001</v>
      </c>
      <c r="AU95" t="s">
        <v>6</v>
      </c>
      <c r="AV95">
        <v>0</v>
      </c>
      <c r="AW95">
        <v>1</v>
      </c>
      <c r="AX95">
        <v>-1</v>
      </c>
      <c r="AY95">
        <v>0</v>
      </c>
      <c r="AZ95">
        <v>0</v>
      </c>
      <c r="BA95" t="s">
        <v>6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V95">
        <v>0</v>
      </c>
      <c r="CW95">
        <v>0</v>
      </c>
      <c r="CX95">
        <f>ROUND(Y95*Source!I57,7)</f>
        <v>0.99</v>
      </c>
      <c r="CY95">
        <f t="shared" si="23"/>
        <v>16033.6</v>
      </c>
      <c r="CZ95">
        <f t="shared" si="24"/>
        <v>1760</v>
      </c>
      <c r="DA95">
        <f t="shared" si="25"/>
        <v>9.11</v>
      </c>
      <c r="DB95">
        <f t="shared" si="29"/>
        <v>2233.85</v>
      </c>
      <c r="DC95">
        <f t="shared" si="30"/>
        <v>0</v>
      </c>
      <c r="DD95" t="s">
        <v>6</v>
      </c>
      <c r="DE95" t="s">
        <v>6</v>
      </c>
      <c r="DF95">
        <f t="shared" si="26"/>
        <v>15873.26</v>
      </c>
      <c r="DG95">
        <f t="shared" si="27"/>
        <v>0</v>
      </c>
      <c r="DH95">
        <f>Source!I57*SmtRes!Y95</f>
        <v>0.99000002400000009</v>
      </c>
      <c r="DI95">
        <f t="shared" si="28"/>
        <v>16033.6</v>
      </c>
      <c r="DJ95">
        <f t="shared" si="32"/>
        <v>15873.26</v>
      </c>
      <c r="DK95" t="e">
        <f>Source!BC57</f>
        <v>#REF!</v>
      </c>
      <c r="DL95" t="s">
        <v>6</v>
      </c>
      <c r="DM95">
        <v>0</v>
      </c>
      <c r="DN95" t="s">
        <v>6</v>
      </c>
      <c r="DO95">
        <v>0</v>
      </c>
      <c r="GP95">
        <v>1</v>
      </c>
      <c r="GQ95">
        <v>-1</v>
      </c>
      <c r="GR95">
        <v>-1</v>
      </c>
    </row>
    <row r="96" spans="1:200" x14ac:dyDescent="0.2">
      <c r="A96">
        <f>ROW(Source!A57)</f>
        <v>57</v>
      </c>
      <c r="B96">
        <v>67643165</v>
      </c>
      <c r="C96">
        <v>67643355</v>
      </c>
      <c r="D96">
        <v>49541181</v>
      </c>
      <c r="E96">
        <v>1</v>
      </c>
      <c r="F96">
        <v>1</v>
      </c>
      <c r="G96">
        <v>1</v>
      </c>
      <c r="H96">
        <v>3</v>
      </c>
      <c r="I96" t="s">
        <v>176</v>
      </c>
      <c r="J96" t="s">
        <v>178</v>
      </c>
      <c r="K96" t="s">
        <v>177</v>
      </c>
      <c r="L96">
        <v>1371</v>
      </c>
      <c r="N96">
        <v>1013</v>
      </c>
      <c r="O96" t="s">
        <v>99</v>
      </c>
      <c r="P96" t="s">
        <v>99</v>
      </c>
      <c r="Q96">
        <v>1</v>
      </c>
      <c r="W96">
        <v>0</v>
      </c>
      <c r="X96">
        <v>-785637132</v>
      </c>
      <c r="Y96">
        <f t="shared" si="31"/>
        <v>14.1025641</v>
      </c>
      <c r="AA96">
        <v>76508.97</v>
      </c>
      <c r="AB96">
        <v>0</v>
      </c>
      <c r="AC96">
        <v>0</v>
      </c>
      <c r="AD96">
        <v>0</v>
      </c>
      <c r="AE96">
        <v>8398.35</v>
      </c>
      <c r="AF96">
        <v>0</v>
      </c>
      <c r="AG96">
        <v>0</v>
      </c>
      <c r="AH96">
        <v>0</v>
      </c>
      <c r="AI96">
        <v>9.11</v>
      </c>
      <c r="AJ96">
        <v>1</v>
      </c>
      <c r="AK96">
        <v>1</v>
      </c>
      <c r="AL96">
        <v>1</v>
      </c>
      <c r="AM96">
        <v>0</v>
      </c>
      <c r="AN96">
        <v>1</v>
      </c>
      <c r="AO96">
        <v>0</v>
      </c>
      <c r="AP96">
        <v>0</v>
      </c>
      <c r="AQ96">
        <v>0</v>
      </c>
      <c r="AR96">
        <v>0</v>
      </c>
      <c r="AS96" t="s">
        <v>6</v>
      </c>
      <c r="AT96">
        <v>14.1025641</v>
      </c>
      <c r="AU96" t="s">
        <v>6</v>
      </c>
      <c r="AV96">
        <v>0</v>
      </c>
      <c r="AW96">
        <v>2</v>
      </c>
      <c r="AX96">
        <v>67643401</v>
      </c>
      <c r="AY96">
        <v>2</v>
      </c>
      <c r="AZ96">
        <v>22528</v>
      </c>
      <c r="BA96">
        <v>85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ROUND(Y96*Source!I57,7)</f>
        <v>11</v>
      </c>
      <c r="CY96">
        <f t="shared" si="23"/>
        <v>76508.97</v>
      </c>
      <c r="CZ96">
        <f t="shared" si="24"/>
        <v>8398.35</v>
      </c>
      <c r="DA96">
        <f t="shared" si="25"/>
        <v>9.11</v>
      </c>
      <c r="DB96">
        <f t="shared" si="29"/>
        <v>118438.27</v>
      </c>
      <c r="DC96">
        <f t="shared" si="30"/>
        <v>0</v>
      </c>
      <c r="DD96" t="s">
        <v>6</v>
      </c>
      <c r="DE96" t="s">
        <v>6</v>
      </c>
      <c r="DF96">
        <f t="shared" si="26"/>
        <v>841598.67</v>
      </c>
      <c r="DG96">
        <f t="shared" si="27"/>
        <v>0</v>
      </c>
      <c r="DH96">
        <f>Source!I57*SmtRes!Y96</f>
        <v>10.999999998</v>
      </c>
      <c r="DI96">
        <f t="shared" si="28"/>
        <v>76508.97</v>
      </c>
      <c r="DJ96">
        <f>EtalonRes!Y85</f>
        <v>592.20000000000005</v>
      </c>
      <c r="DK96" t="e">
        <f>Source!BC57</f>
        <v>#REF!</v>
      </c>
      <c r="DL96" t="s">
        <v>6</v>
      </c>
      <c r="DM96">
        <v>0</v>
      </c>
      <c r="DN96" t="s">
        <v>6</v>
      </c>
      <c r="DO96">
        <v>0</v>
      </c>
      <c r="GP96">
        <v>1</v>
      </c>
      <c r="GQ96">
        <v>-1</v>
      </c>
      <c r="GR96">
        <v>-1</v>
      </c>
    </row>
    <row r="97" spans="1:200" x14ac:dyDescent="0.2">
      <c r="A97">
        <f>ROW(Source!A57)</f>
        <v>57</v>
      </c>
      <c r="B97">
        <v>67643165</v>
      </c>
      <c r="C97">
        <v>67643355</v>
      </c>
      <c r="D97">
        <v>49546817</v>
      </c>
      <c r="E97">
        <v>1</v>
      </c>
      <c r="F97">
        <v>1</v>
      </c>
      <c r="G97">
        <v>1</v>
      </c>
      <c r="H97">
        <v>3</v>
      </c>
      <c r="I97" t="s">
        <v>419</v>
      </c>
      <c r="J97" t="s">
        <v>420</v>
      </c>
      <c r="K97" t="s">
        <v>421</v>
      </c>
      <c r="L97">
        <v>1339</v>
      </c>
      <c r="N97">
        <v>1007</v>
      </c>
      <c r="O97" t="s">
        <v>33</v>
      </c>
      <c r="P97" t="s">
        <v>33</v>
      </c>
      <c r="Q97">
        <v>1</v>
      </c>
      <c r="W97">
        <v>0</v>
      </c>
      <c r="X97">
        <v>-330517304</v>
      </c>
      <c r="Y97" s="211">
        <f>'6.Ведомость_списания'!F87</f>
        <v>1.6E-2</v>
      </c>
      <c r="AA97">
        <v>10522.05</v>
      </c>
      <c r="AB97">
        <v>0</v>
      </c>
      <c r="AC97">
        <v>0</v>
      </c>
      <c r="AD97">
        <v>0</v>
      </c>
      <c r="AE97">
        <v>1155</v>
      </c>
      <c r="AF97">
        <v>0</v>
      </c>
      <c r="AG97">
        <v>0</v>
      </c>
      <c r="AH97">
        <v>0</v>
      </c>
      <c r="AI97">
        <v>9.11</v>
      </c>
      <c r="AJ97">
        <v>1</v>
      </c>
      <c r="AK97">
        <v>1</v>
      </c>
      <c r="AL97">
        <v>1</v>
      </c>
      <c r="AM97">
        <v>4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6</v>
      </c>
      <c r="AT97">
        <v>1.6E-2</v>
      </c>
      <c r="AU97" t="s">
        <v>6</v>
      </c>
      <c r="AV97">
        <v>0</v>
      </c>
      <c r="AW97">
        <v>2</v>
      </c>
      <c r="AX97">
        <v>67643402</v>
      </c>
      <c r="AY97">
        <v>1</v>
      </c>
      <c r="AZ97">
        <v>0</v>
      </c>
      <c r="BA97">
        <v>86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ROUND(Y97*Source!I57,7)</f>
        <v>1.248E-2</v>
      </c>
      <c r="CY97">
        <f t="shared" si="23"/>
        <v>10522.05</v>
      </c>
      <c r="CZ97">
        <f t="shared" si="24"/>
        <v>1155</v>
      </c>
      <c r="DA97">
        <f t="shared" si="25"/>
        <v>9.11</v>
      </c>
      <c r="DB97">
        <f t="shared" si="29"/>
        <v>18.48</v>
      </c>
      <c r="DC97">
        <f t="shared" si="30"/>
        <v>0</v>
      </c>
      <c r="DD97" t="s">
        <v>6</v>
      </c>
      <c r="DE97" t="s">
        <v>6</v>
      </c>
      <c r="DF97">
        <f t="shared" si="26"/>
        <v>131.32</v>
      </c>
      <c r="DG97">
        <f t="shared" si="27"/>
        <v>0</v>
      </c>
      <c r="DH97">
        <f>Source!I57*SmtRes!Y97</f>
        <v>1.2480000000000002E-2</v>
      </c>
      <c r="DI97">
        <f t="shared" si="28"/>
        <v>10522.05</v>
      </c>
      <c r="DJ97">
        <f>EtalonRes!Y86</f>
        <v>1155</v>
      </c>
      <c r="DK97" t="e">
        <f>Source!BC57</f>
        <v>#REF!</v>
      </c>
      <c r="DL97" t="s">
        <v>6</v>
      </c>
      <c r="DM97">
        <v>0</v>
      </c>
      <c r="DN97" t="s">
        <v>6</v>
      </c>
      <c r="DO97">
        <v>0</v>
      </c>
      <c r="GQ97">
        <v>-1</v>
      </c>
      <c r="GR97">
        <v>-1</v>
      </c>
    </row>
    <row r="98" spans="1:200" x14ac:dyDescent="0.2">
      <c r="A98">
        <f>ROW(Source!A64)</f>
        <v>64</v>
      </c>
      <c r="B98">
        <v>67643165</v>
      </c>
      <c r="C98">
        <v>67667260</v>
      </c>
      <c r="D98">
        <v>49510737</v>
      </c>
      <c r="E98">
        <v>70</v>
      </c>
      <c r="F98">
        <v>1</v>
      </c>
      <c r="G98">
        <v>1</v>
      </c>
      <c r="H98">
        <v>1</v>
      </c>
      <c r="I98" t="s">
        <v>359</v>
      </c>
      <c r="J98" t="s">
        <v>6</v>
      </c>
      <c r="K98" t="s">
        <v>360</v>
      </c>
      <c r="L98">
        <v>1191</v>
      </c>
      <c r="N98">
        <v>1013</v>
      </c>
      <c r="O98" t="s">
        <v>340</v>
      </c>
      <c r="P98" t="s">
        <v>340</v>
      </c>
      <c r="Q98">
        <v>1</v>
      </c>
      <c r="W98">
        <v>0</v>
      </c>
      <c r="X98">
        <v>-1810713292</v>
      </c>
      <c r="Y98">
        <f t="shared" si="31"/>
        <v>19.7</v>
      </c>
      <c r="AA98">
        <v>0</v>
      </c>
      <c r="AB98">
        <v>0</v>
      </c>
      <c r="AC98">
        <v>0</v>
      </c>
      <c r="AD98">
        <v>306.52</v>
      </c>
      <c r="AE98">
        <v>0</v>
      </c>
      <c r="AF98">
        <v>0</v>
      </c>
      <c r="AG98">
        <v>0</v>
      </c>
      <c r="AH98">
        <v>9.18</v>
      </c>
      <c r="AI98">
        <v>1</v>
      </c>
      <c r="AJ98">
        <v>1</v>
      </c>
      <c r="AK98">
        <v>1</v>
      </c>
      <c r="AL98">
        <v>33.39</v>
      </c>
      <c r="AM98">
        <v>4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6</v>
      </c>
      <c r="AT98">
        <v>19.7</v>
      </c>
      <c r="AU98" t="s">
        <v>6</v>
      </c>
      <c r="AV98">
        <v>1</v>
      </c>
      <c r="AW98">
        <v>2</v>
      </c>
      <c r="AX98">
        <v>67667261</v>
      </c>
      <c r="AY98">
        <v>1</v>
      </c>
      <c r="AZ98">
        <v>0</v>
      </c>
      <c r="BA98">
        <v>87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U98">
        <f>ROUND(AT98*Source!I64*AH98*AL98,2)</f>
        <v>6038.45</v>
      </c>
      <c r="CV98">
        <f>ROUND(Y98*Source!I64,7)</f>
        <v>19.7</v>
      </c>
      <c r="CW98">
        <v>0</v>
      </c>
      <c r="CX98">
        <f>ROUND(Y98*Source!I64,7)</f>
        <v>19.7</v>
      </c>
      <c r="CY98">
        <f>AD98</f>
        <v>306.52</v>
      </c>
      <c r="CZ98">
        <f>AH98</f>
        <v>9.18</v>
      </c>
      <c r="DA98">
        <f>AL98</f>
        <v>33.39</v>
      </c>
      <c r="DB98">
        <f t="shared" si="29"/>
        <v>180.85</v>
      </c>
      <c r="DC98">
        <f t="shared" si="30"/>
        <v>0</v>
      </c>
      <c r="DD98" t="s">
        <v>6</v>
      </c>
      <c r="DE98" t="s">
        <v>6</v>
      </c>
      <c r="DF98">
        <f t="shared" ref="DF98:DF104" si="33">ROUND(ROUND(AE98,2)*CX98,2)</f>
        <v>0</v>
      </c>
      <c r="DG98">
        <f t="shared" si="27"/>
        <v>0</v>
      </c>
      <c r="DH98">
        <f>Source!I64*SmtRes!Y98</f>
        <v>19.7</v>
      </c>
      <c r="DI98">
        <f>AD98</f>
        <v>306.52</v>
      </c>
      <c r="DJ98">
        <f>EtalonRes!AB87</f>
        <v>9.18</v>
      </c>
      <c r="DK98" t="e">
        <f>Source!BA64</f>
        <v>#REF!</v>
      </c>
      <c r="DL98" t="s">
        <v>6</v>
      </c>
      <c r="DM98">
        <v>0</v>
      </c>
      <c r="DN98" t="s">
        <v>6</v>
      </c>
      <c r="DO98">
        <v>0</v>
      </c>
      <c r="GQ98">
        <v>-1</v>
      </c>
      <c r="GR98">
        <v>-1</v>
      </c>
    </row>
    <row r="99" spans="1:200" x14ac:dyDescent="0.2">
      <c r="A99">
        <f>ROW(Source!A64)</f>
        <v>64</v>
      </c>
      <c r="B99">
        <v>67643165</v>
      </c>
      <c r="C99">
        <v>67667260</v>
      </c>
      <c r="D99">
        <v>49510905</v>
      </c>
      <c r="E99">
        <v>70</v>
      </c>
      <c r="F99">
        <v>1</v>
      </c>
      <c r="G99">
        <v>1</v>
      </c>
      <c r="H99">
        <v>1</v>
      </c>
      <c r="I99" t="s">
        <v>341</v>
      </c>
      <c r="J99" t="s">
        <v>6</v>
      </c>
      <c r="K99" t="s">
        <v>342</v>
      </c>
      <c r="L99">
        <v>1191</v>
      </c>
      <c r="N99">
        <v>1013</v>
      </c>
      <c r="O99" t="s">
        <v>340</v>
      </c>
      <c r="P99" t="s">
        <v>340</v>
      </c>
      <c r="Q99">
        <v>1</v>
      </c>
      <c r="W99">
        <v>0</v>
      </c>
      <c r="X99">
        <v>-1417349443</v>
      </c>
      <c r="Y99">
        <f t="shared" si="31"/>
        <v>0.85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33.39</v>
      </c>
      <c r="AL99">
        <v>1</v>
      </c>
      <c r="AM99">
        <v>4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6</v>
      </c>
      <c r="AT99">
        <v>0.85</v>
      </c>
      <c r="AU99" t="s">
        <v>6</v>
      </c>
      <c r="AV99">
        <v>2</v>
      </c>
      <c r="AW99">
        <v>2</v>
      </c>
      <c r="AX99">
        <v>67667262</v>
      </c>
      <c r="AY99">
        <v>1</v>
      </c>
      <c r="AZ99">
        <v>0</v>
      </c>
      <c r="BA99">
        <v>88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ROUND(Y99*Source!I64,7)</f>
        <v>0.85</v>
      </c>
      <c r="CY99">
        <f>AD99</f>
        <v>0</v>
      </c>
      <c r="CZ99">
        <f>AH99</f>
        <v>0</v>
      </c>
      <c r="DA99">
        <f>AL99</f>
        <v>1</v>
      </c>
      <c r="DB99">
        <f t="shared" si="29"/>
        <v>0</v>
      </c>
      <c r="DC99">
        <f t="shared" si="30"/>
        <v>0</v>
      </c>
      <c r="DD99" t="s">
        <v>6</v>
      </c>
      <c r="DE99" t="s">
        <v>6</v>
      </c>
      <c r="DF99">
        <f t="shared" si="33"/>
        <v>0</v>
      </c>
      <c r="DG99">
        <f t="shared" si="27"/>
        <v>0</v>
      </c>
      <c r="DH99">
        <f>Source!I64*SmtRes!Y99</f>
        <v>0.85</v>
      </c>
      <c r="DI99">
        <f>AD99</f>
        <v>0</v>
      </c>
      <c r="DJ99">
        <f>EtalonRes!AB88</f>
        <v>0</v>
      </c>
      <c r="DK99" t="e">
        <f>Source!BA64</f>
        <v>#REF!</v>
      </c>
      <c r="DL99" t="s">
        <v>6</v>
      </c>
      <c r="DM99">
        <v>0</v>
      </c>
      <c r="DN99" t="s">
        <v>6</v>
      </c>
      <c r="DO99">
        <v>0</v>
      </c>
      <c r="GQ99">
        <v>-1</v>
      </c>
      <c r="GR99">
        <v>-1</v>
      </c>
    </row>
    <row r="100" spans="1:200" x14ac:dyDescent="0.2">
      <c r="A100">
        <f>ROW(Source!A64)</f>
        <v>64</v>
      </c>
      <c r="B100">
        <v>67643165</v>
      </c>
      <c r="C100">
        <v>67667260</v>
      </c>
      <c r="D100">
        <v>49672584</v>
      </c>
      <c r="E100">
        <v>1</v>
      </c>
      <c r="F100">
        <v>1</v>
      </c>
      <c r="G100">
        <v>1</v>
      </c>
      <c r="H100">
        <v>2</v>
      </c>
      <c r="I100" t="s">
        <v>422</v>
      </c>
      <c r="J100" t="s">
        <v>423</v>
      </c>
      <c r="K100" t="s">
        <v>424</v>
      </c>
      <c r="L100">
        <v>1367</v>
      </c>
      <c r="N100">
        <v>1011</v>
      </c>
      <c r="O100" t="s">
        <v>346</v>
      </c>
      <c r="P100" t="s">
        <v>346</v>
      </c>
      <c r="Q100">
        <v>1</v>
      </c>
      <c r="W100">
        <v>0</v>
      </c>
      <c r="X100">
        <v>-1200668687</v>
      </c>
      <c r="Y100">
        <f t="shared" si="31"/>
        <v>0.28000000000000003</v>
      </c>
      <c r="AA100">
        <v>0</v>
      </c>
      <c r="AB100">
        <v>1284.76</v>
      </c>
      <c r="AC100">
        <v>450.77</v>
      </c>
      <c r="AD100">
        <v>0</v>
      </c>
      <c r="AE100">
        <v>0</v>
      </c>
      <c r="AF100">
        <v>96.89</v>
      </c>
      <c r="AG100">
        <v>13.5</v>
      </c>
      <c r="AH100">
        <v>0</v>
      </c>
      <c r="AI100">
        <v>1</v>
      </c>
      <c r="AJ100">
        <v>13.26</v>
      </c>
      <c r="AK100">
        <v>33.39</v>
      </c>
      <c r="AL100">
        <v>1</v>
      </c>
      <c r="AM100">
        <v>4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6</v>
      </c>
      <c r="AT100">
        <v>0.28000000000000003</v>
      </c>
      <c r="AU100" t="s">
        <v>6</v>
      </c>
      <c r="AV100">
        <v>0</v>
      </c>
      <c r="AW100">
        <v>2</v>
      </c>
      <c r="AX100">
        <v>67667263</v>
      </c>
      <c r="AY100">
        <v>1</v>
      </c>
      <c r="AZ100">
        <v>0</v>
      </c>
      <c r="BA100">
        <v>89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f>ROUND(Y100*Source!I64*DO100,7)</f>
        <v>0</v>
      </c>
      <c r="CX100">
        <f>ROUND(Y100*Source!I64,7)</f>
        <v>0.28000000000000003</v>
      </c>
      <c r="CY100">
        <f>AB100</f>
        <v>1284.76</v>
      </c>
      <c r="CZ100">
        <f>AF100</f>
        <v>96.89</v>
      </c>
      <c r="DA100">
        <f>AJ100</f>
        <v>13.26</v>
      </c>
      <c r="DB100">
        <f t="shared" si="29"/>
        <v>27.13</v>
      </c>
      <c r="DC100">
        <f t="shared" si="30"/>
        <v>3.78</v>
      </c>
      <c r="DD100" t="s">
        <v>6</v>
      </c>
      <c r="DE100" t="s">
        <v>6</v>
      </c>
      <c r="DF100">
        <f t="shared" si="33"/>
        <v>0</v>
      </c>
      <c r="DG100">
        <f>ROUND(ROUND(AF100*AJ100,2)*CX100,2)</f>
        <v>359.73</v>
      </c>
      <c r="DH100">
        <f>Source!I64*SmtRes!Y100</f>
        <v>0.28000000000000003</v>
      </c>
      <c r="DI100">
        <f>AB100</f>
        <v>1284.76</v>
      </c>
      <c r="DJ100">
        <f>EtalonRes!Z89</f>
        <v>96.89</v>
      </c>
      <c r="DK100" t="e">
        <f>Source!BB64</f>
        <v>#REF!</v>
      </c>
      <c r="DL100" t="s">
        <v>6</v>
      </c>
      <c r="DM100">
        <v>0</v>
      </c>
      <c r="DN100" t="s">
        <v>6</v>
      </c>
      <c r="DO100">
        <v>0</v>
      </c>
      <c r="GQ100">
        <v>-1</v>
      </c>
      <c r="GR100">
        <v>-1</v>
      </c>
    </row>
    <row r="101" spans="1:200" x14ac:dyDescent="0.2">
      <c r="A101">
        <f>ROW(Source!A64)</f>
        <v>64</v>
      </c>
      <c r="B101">
        <v>67643165</v>
      </c>
      <c r="C101">
        <v>67667260</v>
      </c>
      <c r="D101">
        <v>49672600</v>
      </c>
      <c r="E101">
        <v>1</v>
      </c>
      <c r="F101">
        <v>1</v>
      </c>
      <c r="G101">
        <v>1</v>
      </c>
      <c r="H101">
        <v>2</v>
      </c>
      <c r="I101" t="s">
        <v>425</v>
      </c>
      <c r="J101" t="s">
        <v>426</v>
      </c>
      <c r="K101" t="s">
        <v>427</v>
      </c>
      <c r="L101">
        <v>1367</v>
      </c>
      <c r="N101">
        <v>1011</v>
      </c>
      <c r="O101" t="s">
        <v>346</v>
      </c>
      <c r="P101" t="s">
        <v>346</v>
      </c>
      <c r="Q101">
        <v>1</v>
      </c>
      <c r="W101">
        <v>0</v>
      </c>
      <c r="X101">
        <v>1012184181</v>
      </c>
      <c r="Y101">
        <f t="shared" si="31"/>
        <v>0.34</v>
      </c>
      <c r="AA101">
        <v>0</v>
      </c>
      <c r="AB101">
        <v>1739.18</v>
      </c>
      <c r="AC101">
        <v>450.77</v>
      </c>
      <c r="AD101">
        <v>0</v>
      </c>
      <c r="AE101">
        <v>0</v>
      </c>
      <c r="AF101">
        <v>131.16</v>
      </c>
      <c r="AG101">
        <v>13.5</v>
      </c>
      <c r="AH101">
        <v>0</v>
      </c>
      <c r="AI101">
        <v>1</v>
      </c>
      <c r="AJ101">
        <v>13.26</v>
      </c>
      <c r="AK101">
        <v>33.39</v>
      </c>
      <c r="AL101">
        <v>1</v>
      </c>
      <c r="AM101">
        <v>4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6</v>
      </c>
      <c r="AT101">
        <v>0.34</v>
      </c>
      <c r="AU101" t="s">
        <v>6</v>
      </c>
      <c r="AV101">
        <v>0</v>
      </c>
      <c r="AW101">
        <v>2</v>
      </c>
      <c r="AX101">
        <v>67667264</v>
      </c>
      <c r="AY101">
        <v>1</v>
      </c>
      <c r="AZ101">
        <v>0</v>
      </c>
      <c r="BA101">
        <v>90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V101">
        <v>0</v>
      </c>
      <c r="CW101">
        <f>ROUND(Y101*Source!I64*DO101,7)</f>
        <v>0</v>
      </c>
      <c r="CX101">
        <f>ROUND(Y101*Source!I64,7)</f>
        <v>0.34</v>
      </c>
      <c r="CY101">
        <f>AB101</f>
        <v>1739.18</v>
      </c>
      <c r="CZ101">
        <f>AF101</f>
        <v>131.16</v>
      </c>
      <c r="DA101">
        <f>AJ101</f>
        <v>13.26</v>
      </c>
      <c r="DB101">
        <f t="shared" si="29"/>
        <v>44.59</v>
      </c>
      <c r="DC101">
        <f t="shared" si="30"/>
        <v>4.59</v>
      </c>
      <c r="DD101" t="s">
        <v>6</v>
      </c>
      <c r="DE101" t="s">
        <v>6</v>
      </c>
      <c r="DF101">
        <f t="shared" si="33"/>
        <v>0</v>
      </c>
      <c r="DG101">
        <f>ROUND(ROUND(AF101*AJ101,2)*CX101,2)</f>
        <v>591.32000000000005</v>
      </c>
      <c r="DH101">
        <f>Source!I64*SmtRes!Y101</f>
        <v>0.34</v>
      </c>
      <c r="DI101">
        <f>AB101</f>
        <v>1739.18</v>
      </c>
      <c r="DJ101">
        <f>EtalonRes!Z90</f>
        <v>131.16</v>
      </c>
      <c r="DK101" t="e">
        <f>Source!BB64</f>
        <v>#REF!</v>
      </c>
      <c r="DL101" t="s">
        <v>6</v>
      </c>
      <c r="DM101">
        <v>0</v>
      </c>
      <c r="DN101" t="s">
        <v>6</v>
      </c>
      <c r="DO101">
        <v>0</v>
      </c>
      <c r="GQ101">
        <v>-1</v>
      </c>
      <c r="GR101">
        <v>-1</v>
      </c>
    </row>
    <row r="102" spans="1:200" x14ac:dyDescent="0.2">
      <c r="A102">
        <f>ROW(Source!A64)</f>
        <v>64</v>
      </c>
      <c r="B102">
        <v>67643165</v>
      </c>
      <c r="C102">
        <v>67667260</v>
      </c>
      <c r="D102">
        <v>49673503</v>
      </c>
      <c r="E102">
        <v>1</v>
      </c>
      <c r="F102">
        <v>1</v>
      </c>
      <c r="G102">
        <v>1</v>
      </c>
      <c r="H102">
        <v>2</v>
      </c>
      <c r="I102" t="s">
        <v>364</v>
      </c>
      <c r="J102" t="s">
        <v>365</v>
      </c>
      <c r="K102" t="s">
        <v>366</v>
      </c>
      <c r="L102">
        <v>1367</v>
      </c>
      <c r="N102">
        <v>1011</v>
      </c>
      <c r="O102" t="s">
        <v>346</v>
      </c>
      <c r="P102" t="s">
        <v>346</v>
      </c>
      <c r="Q102">
        <v>1</v>
      </c>
      <c r="W102">
        <v>0</v>
      </c>
      <c r="X102">
        <v>509054691</v>
      </c>
      <c r="Y102">
        <f t="shared" si="31"/>
        <v>0.23</v>
      </c>
      <c r="AA102">
        <v>0</v>
      </c>
      <c r="AB102">
        <v>871.31</v>
      </c>
      <c r="AC102">
        <v>387.32</v>
      </c>
      <c r="AD102">
        <v>0</v>
      </c>
      <c r="AE102">
        <v>0</v>
      </c>
      <c r="AF102">
        <v>65.709999999999994</v>
      </c>
      <c r="AG102">
        <v>11.6</v>
      </c>
      <c r="AH102">
        <v>0</v>
      </c>
      <c r="AI102">
        <v>1</v>
      </c>
      <c r="AJ102">
        <v>13.26</v>
      </c>
      <c r="AK102">
        <v>33.39</v>
      </c>
      <c r="AL102">
        <v>1</v>
      </c>
      <c r="AM102">
        <v>4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6</v>
      </c>
      <c r="AT102">
        <v>0.23</v>
      </c>
      <c r="AU102" t="s">
        <v>6</v>
      </c>
      <c r="AV102">
        <v>0</v>
      </c>
      <c r="AW102">
        <v>2</v>
      </c>
      <c r="AX102">
        <v>67667265</v>
      </c>
      <c r="AY102">
        <v>1</v>
      </c>
      <c r="AZ102">
        <v>0</v>
      </c>
      <c r="BA102">
        <v>91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f>ROUND(Y102*Source!I64*DO102,7)</f>
        <v>0</v>
      </c>
      <c r="CX102">
        <f>ROUND(Y102*Source!I64,7)</f>
        <v>0.23</v>
      </c>
      <c r="CY102">
        <f>AB102</f>
        <v>871.31</v>
      </c>
      <c r="CZ102">
        <f>AF102</f>
        <v>65.709999999999994</v>
      </c>
      <c r="DA102">
        <f>AJ102</f>
        <v>13.26</v>
      </c>
      <c r="DB102">
        <f t="shared" si="29"/>
        <v>15.11</v>
      </c>
      <c r="DC102">
        <f t="shared" si="30"/>
        <v>2.67</v>
      </c>
      <c r="DD102" t="s">
        <v>6</v>
      </c>
      <c r="DE102" t="s">
        <v>6</v>
      </c>
      <c r="DF102">
        <f t="shared" si="33"/>
        <v>0</v>
      </c>
      <c r="DG102">
        <f>ROUND(ROUND(AF102*AJ102,2)*CX102,2)</f>
        <v>200.4</v>
      </c>
      <c r="DH102">
        <f>Source!I64*SmtRes!Y102</f>
        <v>0.23</v>
      </c>
      <c r="DI102">
        <f>AB102</f>
        <v>871.31</v>
      </c>
      <c r="DJ102">
        <f>EtalonRes!Z91</f>
        <v>65.709999999999994</v>
      </c>
      <c r="DK102" t="e">
        <f>Source!BB64</f>
        <v>#REF!</v>
      </c>
      <c r="DL102" t="s">
        <v>6</v>
      </c>
      <c r="DM102">
        <v>0</v>
      </c>
      <c r="DN102" t="s">
        <v>6</v>
      </c>
      <c r="DO102">
        <v>0</v>
      </c>
      <c r="GQ102">
        <v>-1</v>
      </c>
      <c r="GR102">
        <v>-1</v>
      </c>
    </row>
    <row r="103" spans="1:200" x14ac:dyDescent="0.2">
      <c r="A103">
        <f>ROW(Source!A64)</f>
        <v>64</v>
      </c>
      <c r="B103">
        <v>67643165</v>
      </c>
      <c r="C103">
        <v>67667260</v>
      </c>
      <c r="D103">
        <v>49673658</v>
      </c>
      <c r="E103">
        <v>1</v>
      </c>
      <c r="F103">
        <v>1</v>
      </c>
      <c r="G103">
        <v>1</v>
      </c>
      <c r="H103">
        <v>2</v>
      </c>
      <c r="I103" t="s">
        <v>428</v>
      </c>
      <c r="J103" t="s">
        <v>429</v>
      </c>
      <c r="K103" t="s">
        <v>430</v>
      </c>
      <c r="L103">
        <v>1367</v>
      </c>
      <c r="N103">
        <v>1011</v>
      </c>
      <c r="O103" t="s">
        <v>346</v>
      </c>
      <c r="P103" t="s">
        <v>346</v>
      </c>
      <c r="Q103">
        <v>1</v>
      </c>
      <c r="W103">
        <v>0</v>
      </c>
      <c r="X103">
        <v>2077867240</v>
      </c>
      <c r="Y103">
        <f t="shared" si="31"/>
        <v>0.15</v>
      </c>
      <c r="AA103">
        <v>0</v>
      </c>
      <c r="AB103">
        <v>15.91</v>
      </c>
      <c r="AC103">
        <v>0</v>
      </c>
      <c r="AD103">
        <v>0</v>
      </c>
      <c r="AE103">
        <v>0</v>
      </c>
      <c r="AF103">
        <v>1.2</v>
      </c>
      <c r="AG103">
        <v>0</v>
      </c>
      <c r="AH103">
        <v>0</v>
      </c>
      <c r="AI103">
        <v>1</v>
      </c>
      <c r="AJ103">
        <v>13.26</v>
      </c>
      <c r="AK103">
        <v>33.39</v>
      </c>
      <c r="AL103">
        <v>1</v>
      </c>
      <c r="AM103">
        <v>4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6</v>
      </c>
      <c r="AT103">
        <v>0.15</v>
      </c>
      <c r="AU103" t="s">
        <v>6</v>
      </c>
      <c r="AV103">
        <v>0</v>
      </c>
      <c r="AW103">
        <v>2</v>
      </c>
      <c r="AX103">
        <v>67667266</v>
      </c>
      <c r="AY103">
        <v>1</v>
      </c>
      <c r="AZ103">
        <v>0</v>
      </c>
      <c r="BA103">
        <v>92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V103">
        <v>0</v>
      </c>
      <c r="CW103">
        <f>ROUND(Y103*Source!I64*DO103,7)</f>
        <v>0</v>
      </c>
      <c r="CX103">
        <f>ROUND(Y103*Source!I64,7)</f>
        <v>0.15</v>
      </c>
      <c r="CY103">
        <f>AB103</f>
        <v>15.91</v>
      </c>
      <c r="CZ103">
        <f>AF103</f>
        <v>1.2</v>
      </c>
      <c r="DA103">
        <f>AJ103</f>
        <v>13.26</v>
      </c>
      <c r="DB103">
        <f t="shared" si="29"/>
        <v>0.18</v>
      </c>
      <c r="DC103">
        <f t="shared" si="30"/>
        <v>0</v>
      </c>
      <c r="DD103" t="s">
        <v>6</v>
      </c>
      <c r="DE103" t="s">
        <v>6</v>
      </c>
      <c r="DF103">
        <f t="shared" si="33"/>
        <v>0</v>
      </c>
      <c r="DG103">
        <f>ROUND(ROUND(AF103*AJ103,2)*CX103,2)</f>
        <v>2.39</v>
      </c>
      <c r="DH103">
        <f>Source!I64*SmtRes!Y103</f>
        <v>0.15</v>
      </c>
      <c r="DI103">
        <f>AB103</f>
        <v>15.91</v>
      </c>
      <c r="DJ103">
        <f>EtalonRes!Z92</f>
        <v>1.2</v>
      </c>
      <c r="DK103" t="e">
        <f>Source!BB64</f>
        <v>#REF!</v>
      </c>
      <c r="DL103" t="s">
        <v>6</v>
      </c>
      <c r="DM103">
        <v>0</v>
      </c>
      <c r="DN103" t="s">
        <v>6</v>
      </c>
      <c r="DO103">
        <v>0</v>
      </c>
      <c r="GQ103">
        <v>-1</v>
      </c>
      <c r="GR103">
        <v>-1</v>
      </c>
    </row>
    <row r="104" spans="1:200" x14ac:dyDescent="0.2">
      <c r="A104">
        <f>ROW(Source!A64)</f>
        <v>64</v>
      </c>
      <c r="B104">
        <v>67643165</v>
      </c>
      <c r="C104">
        <v>67667260</v>
      </c>
      <c r="D104">
        <v>49673715</v>
      </c>
      <c r="E104">
        <v>1</v>
      </c>
      <c r="F104">
        <v>1</v>
      </c>
      <c r="G104">
        <v>1</v>
      </c>
      <c r="H104">
        <v>2</v>
      </c>
      <c r="I104" t="s">
        <v>431</v>
      </c>
      <c r="J104" t="s">
        <v>432</v>
      </c>
      <c r="K104" t="s">
        <v>433</v>
      </c>
      <c r="L104">
        <v>1367</v>
      </c>
      <c r="N104">
        <v>1011</v>
      </c>
      <c r="O104" t="s">
        <v>346</v>
      </c>
      <c r="P104" t="s">
        <v>346</v>
      </c>
      <c r="Q104">
        <v>1</v>
      </c>
      <c r="W104">
        <v>0</v>
      </c>
      <c r="X104">
        <v>829370094</v>
      </c>
      <c r="Y104">
        <f t="shared" si="31"/>
        <v>2.52</v>
      </c>
      <c r="AA104">
        <v>0</v>
      </c>
      <c r="AB104">
        <v>107.41</v>
      </c>
      <c r="AC104">
        <v>0</v>
      </c>
      <c r="AD104">
        <v>0</v>
      </c>
      <c r="AE104">
        <v>0</v>
      </c>
      <c r="AF104">
        <v>8.1</v>
      </c>
      <c r="AG104">
        <v>0</v>
      </c>
      <c r="AH104">
        <v>0</v>
      </c>
      <c r="AI104">
        <v>1</v>
      </c>
      <c r="AJ104">
        <v>13.26</v>
      </c>
      <c r="AK104">
        <v>33.39</v>
      </c>
      <c r="AL104">
        <v>1</v>
      </c>
      <c r="AM104">
        <v>4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6</v>
      </c>
      <c r="AT104">
        <v>2.52</v>
      </c>
      <c r="AU104" t="s">
        <v>6</v>
      </c>
      <c r="AV104">
        <v>0</v>
      </c>
      <c r="AW104">
        <v>2</v>
      </c>
      <c r="AX104">
        <v>67667267</v>
      </c>
      <c r="AY104">
        <v>1</v>
      </c>
      <c r="AZ104">
        <v>0</v>
      </c>
      <c r="BA104">
        <v>93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V104">
        <v>0</v>
      </c>
      <c r="CW104">
        <f>ROUND(Y104*Source!I64*DO104,7)</f>
        <v>0</v>
      </c>
      <c r="CX104">
        <f>ROUND(Y104*Source!I64,7)</f>
        <v>2.52</v>
      </c>
      <c r="CY104">
        <f>AB104</f>
        <v>107.41</v>
      </c>
      <c r="CZ104">
        <f>AF104</f>
        <v>8.1</v>
      </c>
      <c r="DA104">
        <f>AJ104</f>
        <v>13.26</v>
      </c>
      <c r="DB104">
        <f t="shared" si="29"/>
        <v>20.41</v>
      </c>
      <c r="DC104">
        <f t="shared" si="30"/>
        <v>0</v>
      </c>
      <c r="DD104" t="s">
        <v>6</v>
      </c>
      <c r="DE104" t="s">
        <v>6</v>
      </c>
      <c r="DF104">
        <f t="shared" si="33"/>
        <v>0</v>
      </c>
      <c r="DG104">
        <f>ROUND(ROUND(AF104*AJ104,2)*CX104,2)</f>
        <v>270.67</v>
      </c>
      <c r="DH104">
        <f>Source!I64*SmtRes!Y104</f>
        <v>2.52</v>
      </c>
      <c r="DI104">
        <f>AB104</f>
        <v>107.41</v>
      </c>
      <c r="DJ104">
        <f>EtalonRes!Z93</f>
        <v>8.1</v>
      </c>
      <c r="DK104" t="e">
        <f>Source!BB64</f>
        <v>#REF!</v>
      </c>
      <c r="DL104" t="s">
        <v>6</v>
      </c>
      <c r="DM104">
        <v>0</v>
      </c>
      <c r="DN104" t="s">
        <v>6</v>
      </c>
      <c r="DO104">
        <v>0</v>
      </c>
      <c r="GQ104">
        <v>-1</v>
      </c>
      <c r="GR104">
        <v>-1</v>
      </c>
    </row>
    <row r="105" spans="1:200" x14ac:dyDescent="0.2">
      <c r="A105">
        <f>ROW(Source!A64)</f>
        <v>64</v>
      </c>
      <c r="B105">
        <v>67643165</v>
      </c>
      <c r="C105">
        <v>67667260</v>
      </c>
      <c r="D105">
        <v>49521602</v>
      </c>
      <c r="E105">
        <v>1</v>
      </c>
      <c r="F105">
        <v>1</v>
      </c>
      <c r="G105">
        <v>1</v>
      </c>
      <c r="H105">
        <v>3</v>
      </c>
      <c r="I105" t="s">
        <v>434</v>
      </c>
      <c r="J105" t="s">
        <v>435</v>
      </c>
      <c r="K105" t="s">
        <v>436</v>
      </c>
      <c r="L105">
        <v>1339</v>
      </c>
      <c r="N105">
        <v>1007</v>
      </c>
      <c r="O105" t="s">
        <v>33</v>
      </c>
      <c r="P105" t="s">
        <v>33</v>
      </c>
      <c r="Q105">
        <v>1</v>
      </c>
      <c r="W105">
        <v>0</v>
      </c>
      <c r="X105">
        <v>-1761807714</v>
      </c>
      <c r="Y105" s="211">
        <f>'6.Ведомость_списания'!F94</f>
        <v>1.4</v>
      </c>
      <c r="AA105">
        <v>56.66</v>
      </c>
      <c r="AB105">
        <v>0</v>
      </c>
      <c r="AC105">
        <v>0</v>
      </c>
      <c r="AD105">
        <v>0</v>
      </c>
      <c r="AE105">
        <v>6.22</v>
      </c>
      <c r="AF105">
        <v>0</v>
      </c>
      <c r="AG105">
        <v>0</v>
      </c>
      <c r="AH105">
        <v>0</v>
      </c>
      <c r="AI105">
        <v>9.11</v>
      </c>
      <c r="AJ105">
        <v>1</v>
      </c>
      <c r="AK105">
        <v>1</v>
      </c>
      <c r="AL105">
        <v>1</v>
      </c>
      <c r="AM105">
        <v>4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6</v>
      </c>
      <c r="AT105">
        <v>1.4</v>
      </c>
      <c r="AU105" t="s">
        <v>6</v>
      </c>
      <c r="AV105">
        <v>0</v>
      </c>
      <c r="AW105">
        <v>2</v>
      </c>
      <c r="AX105">
        <v>67667268</v>
      </c>
      <c r="AY105">
        <v>1</v>
      </c>
      <c r="AZ105">
        <v>0</v>
      </c>
      <c r="BA105">
        <v>94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V105">
        <v>0</v>
      </c>
      <c r="CW105">
        <v>0</v>
      </c>
      <c r="CX105">
        <f>ROUND(Y105*Source!I64,7)</f>
        <v>1.4</v>
      </c>
      <c r="CY105">
        <f t="shared" ref="CY105:CY112" si="34">AA105</f>
        <v>56.66</v>
      </c>
      <c r="CZ105">
        <f t="shared" ref="CZ105:CZ112" si="35">AE105</f>
        <v>6.22</v>
      </c>
      <c r="DA105">
        <f t="shared" ref="DA105:DA112" si="36">AI105</f>
        <v>9.11</v>
      </c>
      <c r="DB105">
        <f t="shared" si="29"/>
        <v>8.7100000000000009</v>
      </c>
      <c r="DC105">
        <f t="shared" si="30"/>
        <v>0</v>
      </c>
      <c r="DD105" t="s">
        <v>6</v>
      </c>
      <c r="DE105" t="s">
        <v>6</v>
      </c>
      <c r="DF105">
        <f t="shared" ref="DF105:DF112" si="37">ROUND(ROUND(AE105*AI105,2)*CX105,2)</f>
        <v>79.319999999999993</v>
      </c>
      <c r="DG105">
        <f t="shared" ref="DG105:DG123" si="38">ROUND(ROUND(AF105,2)*CX105,2)</f>
        <v>0</v>
      </c>
      <c r="DH105">
        <f>Source!I64*SmtRes!Y105</f>
        <v>1.4</v>
      </c>
      <c r="DI105">
        <f t="shared" ref="DI105:DI112" si="39">AA105</f>
        <v>56.66</v>
      </c>
      <c r="DJ105">
        <f>EtalonRes!Y94</f>
        <v>6.22</v>
      </c>
      <c r="DK105" t="e">
        <f>Source!BC64</f>
        <v>#REF!</v>
      </c>
      <c r="DL105" t="s">
        <v>6</v>
      </c>
      <c r="DM105">
        <v>0</v>
      </c>
      <c r="DN105" t="s">
        <v>6</v>
      </c>
      <c r="DO105">
        <v>0</v>
      </c>
      <c r="GQ105">
        <v>-1</v>
      </c>
      <c r="GR105">
        <v>-1</v>
      </c>
    </row>
    <row r="106" spans="1:200" x14ac:dyDescent="0.2">
      <c r="A106">
        <f>ROW(Source!A64)</f>
        <v>64</v>
      </c>
      <c r="B106">
        <v>67643165</v>
      </c>
      <c r="C106">
        <v>67667260</v>
      </c>
      <c r="D106">
        <v>49521608</v>
      </c>
      <c r="E106">
        <v>1</v>
      </c>
      <c r="F106">
        <v>1</v>
      </c>
      <c r="G106">
        <v>1</v>
      </c>
      <c r="H106">
        <v>3</v>
      </c>
      <c r="I106" t="s">
        <v>437</v>
      </c>
      <c r="J106" t="s">
        <v>438</v>
      </c>
      <c r="K106" t="s">
        <v>439</v>
      </c>
      <c r="L106">
        <v>1346</v>
      </c>
      <c r="N106">
        <v>1009</v>
      </c>
      <c r="O106" t="s">
        <v>440</v>
      </c>
      <c r="P106" t="s">
        <v>440</v>
      </c>
      <c r="Q106">
        <v>1</v>
      </c>
      <c r="W106">
        <v>0</v>
      </c>
      <c r="X106">
        <v>-2118006079</v>
      </c>
      <c r="Y106" s="211">
        <f>'6.Ведомость_списания'!F95</f>
        <v>0.24</v>
      </c>
      <c r="AA106">
        <v>55.48</v>
      </c>
      <c r="AB106">
        <v>0</v>
      </c>
      <c r="AC106">
        <v>0</v>
      </c>
      <c r="AD106">
        <v>0</v>
      </c>
      <c r="AE106">
        <v>6.09</v>
      </c>
      <c r="AF106">
        <v>0</v>
      </c>
      <c r="AG106">
        <v>0</v>
      </c>
      <c r="AH106">
        <v>0</v>
      </c>
      <c r="AI106">
        <v>9.11</v>
      </c>
      <c r="AJ106">
        <v>1</v>
      </c>
      <c r="AK106">
        <v>1</v>
      </c>
      <c r="AL106">
        <v>1</v>
      </c>
      <c r="AM106">
        <v>4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6</v>
      </c>
      <c r="AT106">
        <v>0.24</v>
      </c>
      <c r="AU106" t="s">
        <v>6</v>
      </c>
      <c r="AV106">
        <v>0</v>
      </c>
      <c r="AW106">
        <v>2</v>
      </c>
      <c r="AX106">
        <v>67667269</v>
      </c>
      <c r="AY106">
        <v>1</v>
      </c>
      <c r="AZ106">
        <v>0</v>
      </c>
      <c r="BA106">
        <v>95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V106">
        <v>0</v>
      </c>
      <c r="CW106">
        <v>0</v>
      </c>
      <c r="CX106">
        <f>ROUND(Y106*Source!I64,7)</f>
        <v>0.24</v>
      </c>
      <c r="CY106">
        <f t="shared" si="34"/>
        <v>55.48</v>
      </c>
      <c r="CZ106">
        <f t="shared" si="35"/>
        <v>6.09</v>
      </c>
      <c r="DA106">
        <f t="shared" si="36"/>
        <v>9.11</v>
      </c>
      <c r="DB106">
        <f t="shared" si="29"/>
        <v>1.46</v>
      </c>
      <c r="DC106">
        <f t="shared" si="30"/>
        <v>0</v>
      </c>
      <c r="DD106" t="s">
        <v>6</v>
      </c>
      <c r="DE106" t="s">
        <v>6</v>
      </c>
      <c r="DF106">
        <f t="shared" si="37"/>
        <v>13.32</v>
      </c>
      <c r="DG106">
        <f t="shared" si="38"/>
        <v>0</v>
      </c>
      <c r="DH106">
        <f>Source!I64*SmtRes!Y106</f>
        <v>0.24</v>
      </c>
      <c r="DI106">
        <f t="shared" si="39"/>
        <v>55.48</v>
      </c>
      <c r="DJ106">
        <f>EtalonRes!Y95</f>
        <v>6.09</v>
      </c>
      <c r="DK106" t="e">
        <f>Source!BC64</f>
        <v>#REF!</v>
      </c>
      <c r="DL106" t="s">
        <v>6</v>
      </c>
      <c r="DM106">
        <v>0</v>
      </c>
      <c r="DN106" t="s">
        <v>6</v>
      </c>
      <c r="DO106">
        <v>0</v>
      </c>
      <c r="GQ106">
        <v>-1</v>
      </c>
      <c r="GR106">
        <v>-1</v>
      </c>
    </row>
    <row r="107" spans="1:200" x14ac:dyDescent="0.2">
      <c r="A107">
        <f>ROW(Source!A64)</f>
        <v>64</v>
      </c>
      <c r="B107">
        <v>67643165</v>
      </c>
      <c r="C107">
        <v>67667260</v>
      </c>
      <c r="D107">
        <v>49524296</v>
      </c>
      <c r="E107">
        <v>1</v>
      </c>
      <c r="F107">
        <v>1</v>
      </c>
      <c r="G107">
        <v>1</v>
      </c>
      <c r="H107">
        <v>3</v>
      </c>
      <c r="I107" t="s">
        <v>441</v>
      </c>
      <c r="J107" t="s">
        <v>442</v>
      </c>
      <c r="K107" t="s">
        <v>443</v>
      </c>
      <c r="L107">
        <v>1348</v>
      </c>
      <c r="N107">
        <v>1009</v>
      </c>
      <c r="O107" t="s">
        <v>129</v>
      </c>
      <c r="P107" t="s">
        <v>129</v>
      </c>
      <c r="Q107">
        <v>1000</v>
      </c>
      <c r="W107">
        <v>0</v>
      </c>
      <c r="X107">
        <v>-899232333</v>
      </c>
      <c r="Y107" s="211">
        <f>'6.Ведомость_списания'!F96</f>
        <v>3.5000000000000001E-3</v>
      </c>
      <c r="AA107">
        <v>104983.64</v>
      </c>
      <c r="AB107">
        <v>0</v>
      </c>
      <c r="AC107">
        <v>0</v>
      </c>
      <c r="AD107">
        <v>0</v>
      </c>
      <c r="AE107">
        <v>11524</v>
      </c>
      <c r="AF107">
        <v>0</v>
      </c>
      <c r="AG107">
        <v>0</v>
      </c>
      <c r="AH107">
        <v>0</v>
      </c>
      <c r="AI107">
        <v>9.11</v>
      </c>
      <c r="AJ107">
        <v>1</v>
      </c>
      <c r="AK107">
        <v>1</v>
      </c>
      <c r="AL107">
        <v>1</v>
      </c>
      <c r="AM107">
        <v>4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6</v>
      </c>
      <c r="AT107">
        <v>3.5000000000000001E-3</v>
      </c>
      <c r="AU107" t="s">
        <v>6</v>
      </c>
      <c r="AV107">
        <v>0</v>
      </c>
      <c r="AW107">
        <v>2</v>
      </c>
      <c r="AX107">
        <v>67667270</v>
      </c>
      <c r="AY107">
        <v>1</v>
      </c>
      <c r="AZ107">
        <v>0</v>
      </c>
      <c r="BA107">
        <v>96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ROUND(Y107*Source!I64,7)</f>
        <v>3.5000000000000001E-3</v>
      </c>
      <c r="CY107">
        <f t="shared" si="34"/>
        <v>104983.64</v>
      </c>
      <c r="CZ107">
        <f t="shared" si="35"/>
        <v>11524</v>
      </c>
      <c r="DA107">
        <f t="shared" si="36"/>
        <v>9.11</v>
      </c>
      <c r="DB107">
        <f t="shared" si="29"/>
        <v>40.33</v>
      </c>
      <c r="DC107">
        <f t="shared" si="30"/>
        <v>0</v>
      </c>
      <c r="DD107" t="s">
        <v>6</v>
      </c>
      <c r="DE107" t="s">
        <v>6</v>
      </c>
      <c r="DF107">
        <f t="shared" si="37"/>
        <v>367.44</v>
      </c>
      <c r="DG107">
        <f t="shared" si="38"/>
        <v>0</v>
      </c>
      <c r="DH107">
        <f>Source!I64*SmtRes!Y107</f>
        <v>3.5000000000000001E-3</v>
      </c>
      <c r="DI107">
        <f t="shared" si="39"/>
        <v>104983.64</v>
      </c>
      <c r="DJ107">
        <f>EtalonRes!Y96</f>
        <v>11524</v>
      </c>
      <c r="DK107" t="e">
        <f>Source!BC64</f>
        <v>#REF!</v>
      </c>
      <c r="DL107" t="s">
        <v>6</v>
      </c>
      <c r="DM107">
        <v>0</v>
      </c>
      <c r="DN107" t="s">
        <v>6</v>
      </c>
      <c r="DO107">
        <v>0</v>
      </c>
      <c r="GQ107">
        <v>-1</v>
      </c>
      <c r="GR107">
        <v>-1</v>
      </c>
    </row>
    <row r="108" spans="1:200" x14ac:dyDescent="0.2">
      <c r="A108">
        <f>ROW(Source!A64)</f>
        <v>64</v>
      </c>
      <c r="B108">
        <v>67643165</v>
      </c>
      <c r="C108">
        <v>67667260</v>
      </c>
      <c r="D108">
        <v>49540301</v>
      </c>
      <c r="E108">
        <v>1</v>
      </c>
      <c r="F108">
        <v>1</v>
      </c>
      <c r="G108">
        <v>1</v>
      </c>
      <c r="H108">
        <v>3</v>
      </c>
      <c r="I108" t="s">
        <v>444</v>
      </c>
      <c r="J108" t="s">
        <v>445</v>
      </c>
      <c r="K108" t="s">
        <v>446</v>
      </c>
      <c r="L108">
        <v>1346</v>
      </c>
      <c r="N108">
        <v>1009</v>
      </c>
      <c r="O108" t="s">
        <v>440</v>
      </c>
      <c r="P108" t="s">
        <v>440</v>
      </c>
      <c r="Q108">
        <v>1</v>
      </c>
      <c r="W108">
        <v>0</v>
      </c>
      <c r="X108">
        <v>1773482770</v>
      </c>
      <c r="Y108" s="211">
        <f>'6.Ведомость_списания'!F97</f>
        <v>15.2</v>
      </c>
      <c r="AA108">
        <v>114.79</v>
      </c>
      <c r="AB108">
        <v>0</v>
      </c>
      <c r="AC108">
        <v>0</v>
      </c>
      <c r="AD108">
        <v>0</v>
      </c>
      <c r="AE108">
        <v>12.6</v>
      </c>
      <c r="AF108">
        <v>0</v>
      </c>
      <c r="AG108">
        <v>0</v>
      </c>
      <c r="AH108">
        <v>0</v>
      </c>
      <c r="AI108">
        <v>9.11</v>
      </c>
      <c r="AJ108">
        <v>1</v>
      </c>
      <c r="AK108">
        <v>1</v>
      </c>
      <c r="AL108">
        <v>1</v>
      </c>
      <c r="AM108">
        <v>4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6</v>
      </c>
      <c r="AT108">
        <v>15.2</v>
      </c>
      <c r="AU108" t="s">
        <v>6</v>
      </c>
      <c r="AV108">
        <v>0</v>
      </c>
      <c r="AW108">
        <v>2</v>
      </c>
      <c r="AX108">
        <v>67667271</v>
      </c>
      <c r="AY108">
        <v>1</v>
      </c>
      <c r="AZ108">
        <v>0</v>
      </c>
      <c r="BA108">
        <v>97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ROUND(Y108*Source!I64,7)</f>
        <v>15.2</v>
      </c>
      <c r="CY108">
        <f t="shared" si="34"/>
        <v>114.79</v>
      </c>
      <c r="CZ108">
        <f t="shared" si="35"/>
        <v>12.6</v>
      </c>
      <c r="DA108">
        <f t="shared" si="36"/>
        <v>9.11</v>
      </c>
      <c r="DB108">
        <f t="shared" si="29"/>
        <v>191.52</v>
      </c>
      <c r="DC108">
        <f t="shared" si="30"/>
        <v>0</v>
      </c>
      <c r="DD108" t="s">
        <v>6</v>
      </c>
      <c r="DE108" t="s">
        <v>6</v>
      </c>
      <c r="DF108">
        <f t="shared" si="37"/>
        <v>1744.81</v>
      </c>
      <c r="DG108">
        <f t="shared" si="38"/>
        <v>0</v>
      </c>
      <c r="DH108">
        <f>Source!I64*SmtRes!Y108</f>
        <v>15.2</v>
      </c>
      <c r="DI108">
        <f t="shared" si="39"/>
        <v>114.79</v>
      </c>
      <c r="DJ108">
        <f>EtalonRes!Y97</f>
        <v>12.6</v>
      </c>
      <c r="DK108" t="e">
        <f>Source!BC64</f>
        <v>#REF!</v>
      </c>
      <c r="DL108" t="s">
        <v>6</v>
      </c>
      <c r="DM108">
        <v>0</v>
      </c>
      <c r="DN108" t="s">
        <v>6</v>
      </c>
      <c r="DO108">
        <v>0</v>
      </c>
      <c r="GQ108">
        <v>-1</v>
      </c>
      <c r="GR108">
        <v>-1</v>
      </c>
    </row>
    <row r="109" spans="1:200" x14ac:dyDescent="0.2">
      <c r="A109">
        <f>ROW(Source!A64)</f>
        <v>64</v>
      </c>
      <c r="B109">
        <v>67643165</v>
      </c>
      <c r="C109">
        <v>67667260</v>
      </c>
      <c r="D109">
        <v>49541228</v>
      </c>
      <c r="E109">
        <v>1</v>
      </c>
      <c r="F109">
        <v>1</v>
      </c>
      <c r="G109">
        <v>1</v>
      </c>
      <c r="H109">
        <v>3</v>
      </c>
      <c r="I109" t="s">
        <v>447</v>
      </c>
      <c r="J109" t="s">
        <v>448</v>
      </c>
      <c r="K109" t="s">
        <v>449</v>
      </c>
      <c r="L109">
        <v>1346</v>
      </c>
      <c r="N109">
        <v>1009</v>
      </c>
      <c r="O109" t="s">
        <v>440</v>
      </c>
      <c r="P109" t="s">
        <v>440</v>
      </c>
      <c r="Q109">
        <v>1</v>
      </c>
      <c r="W109">
        <v>0</v>
      </c>
      <c r="X109">
        <v>-1992374381</v>
      </c>
      <c r="Y109" s="211">
        <f>'6.Ведомость_списания'!F98</f>
        <v>2</v>
      </c>
      <c r="AA109">
        <v>137.93</v>
      </c>
      <c r="AB109">
        <v>0</v>
      </c>
      <c r="AC109">
        <v>0</v>
      </c>
      <c r="AD109">
        <v>0</v>
      </c>
      <c r="AE109">
        <v>15.14</v>
      </c>
      <c r="AF109">
        <v>0</v>
      </c>
      <c r="AG109">
        <v>0</v>
      </c>
      <c r="AH109">
        <v>0</v>
      </c>
      <c r="AI109">
        <v>9.11</v>
      </c>
      <c r="AJ109">
        <v>1</v>
      </c>
      <c r="AK109">
        <v>1</v>
      </c>
      <c r="AL109">
        <v>1</v>
      </c>
      <c r="AM109">
        <v>4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6</v>
      </c>
      <c r="AT109">
        <v>2</v>
      </c>
      <c r="AU109" t="s">
        <v>6</v>
      </c>
      <c r="AV109">
        <v>0</v>
      </c>
      <c r="AW109">
        <v>2</v>
      </c>
      <c r="AX109">
        <v>67667272</v>
      </c>
      <c r="AY109">
        <v>1</v>
      </c>
      <c r="AZ109">
        <v>0</v>
      </c>
      <c r="BA109">
        <v>98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ROUND(Y109*Source!I64,7)</f>
        <v>2</v>
      </c>
      <c r="CY109">
        <f t="shared" si="34"/>
        <v>137.93</v>
      </c>
      <c r="CZ109">
        <f t="shared" si="35"/>
        <v>15.14</v>
      </c>
      <c r="DA109">
        <f t="shared" si="36"/>
        <v>9.11</v>
      </c>
      <c r="DB109">
        <f t="shared" si="29"/>
        <v>30.28</v>
      </c>
      <c r="DC109">
        <f t="shared" si="30"/>
        <v>0</v>
      </c>
      <c r="DD109" t="s">
        <v>6</v>
      </c>
      <c r="DE109" t="s">
        <v>6</v>
      </c>
      <c r="DF109">
        <f t="shared" si="37"/>
        <v>275.86</v>
      </c>
      <c r="DG109">
        <f t="shared" si="38"/>
        <v>0</v>
      </c>
      <c r="DH109">
        <f>Source!I64*SmtRes!Y109</f>
        <v>2</v>
      </c>
      <c r="DI109">
        <f t="shared" si="39"/>
        <v>137.93</v>
      </c>
      <c r="DJ109">
        <f>EtalonRes!Y98</f>
        <v>15.14</v>
      </c>
      <c r="DK109" t="e">
        <f>Source!BC64</f>
        <v>#REF!</v>
      </c>
      <c r="DL109" t="s">
        <v>6</v>
      </c>
      <c r="DM109">
        <v>0</v>
      </c>
      <c r="DN109" t="s">
        <v>6</v>
      </c>
      <c r="DO109">
        <v>0</v>
      </c>
      <c r="GQ109">
        <v>-1</v>
      </c>
      <c r="GR109">
        <v>-1</v>
      </c>
    </row>
    <row r="110" spans="1:200" x14ac:dyDescent="0.2">
      <c r="A110">
        <f>ROW(Source!A64)</f>
        <v>64</v>
      </c>
      <c r="B110">
        <v>67643165</v>
      </c>
      <c r="C110">
        <v>67667260</v>
      </c>
      <c r="D110">
        <v>49585776</v>
      </c>
      <c r="E110">
        <v>1</v>
      </c>
      <c r="F110">
        <v>1</v>
      </c>
      <c r="G110">
        <v>1</v>
      </c>
      <c r="H110">
        <v>3</v>
      </c>
      <c r="I110" t="s">
        <v>450</v>
      </c>
      <c r="J110" t="s">
        <v>451</v>
      </c>
      <c r="K110" t="s">
        <v>452</v>
      </c>
      <c r="L110">
        <v>1371</v>
      </c>
      <c r="N110">
        <v>1013</v>
      </c>
      <c r="O110" t="s">
        <v>99</v>
      </c>
      <c r="P110" t="s">
        <v>99</v>
      </c>
      <c r="Q110">
        <v>1</v>
      </c>
      <c r="W110">
        <v>0</v>
      </c>
      <c r="X110">
        <v>-237996709</v>
      </c>
      <c r="Y110" s="211">
        <f>'6.Ведомость_списания'!F99</f>
        <v>2</v>
      </c>
      <c r="AA110">
        <v>2429.36</v>
      </c>
      <c r="AB110">
        <v>0</v>
      </c>
      <c r="AC110">
        <v>0</v>
      </c>
      <c r="AD110">
        <v>0</v>
      </c>
      <c r="AE110">
        <v>266.67</v>
      </c>
      <c r="AF110">
        <v>0</v>
      </c>
      <c r="AG110">
        <v>0</v>
      </c>
      <c r="AH110">
        <v>0</v>
      </c>
      <c r="AI110">
        <v>9.11</v>
      </c>
      <c r="AJ110">
        <v>1</v>
      </c>
      <c r="AK110">
        <v>1</v>
      </c>
      <c r="AL110">
        <v>1</v>
      </c>
      <c r="AM110">
        <v>4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6</v>
      </c>
      <c r="AT110">
        <v>2</v>
      </c>
      <c r="AU110" t="s">
        <v>6</v>
      </c>
      <c r="AV110">
        <v>0</v>
      </c>
      <c r="AW110">
        <v>2</v>
      </c>
      <c r="AX110">
        <v>67667273</v>
      </c>
      <c r="AY110">
        <v>1</v>
      </c>
      <c r="AZ110">
        <v>0</v>
      </c>
      <c r="BA110">
        <v>99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ROUND(Y110*Source!I64,7)</f>
        <v>2</v>
      </c>
      <c r="CY110">
        <f t="shared" si="34"/>
        <v>2429.36</v>
      </c>
      <c r="CZ110">
        <f t="shared" si="35"/>
        <v>266.67</v>
      </c>
      <c r="DA110">
        <f t="shared" si="36"/>
        <v>9.11</v>
      </c>
      <c r="DB110">
        <f t="shared" si="29"/>
        <v>533.34</v>
      </c>
      <c r="DC110">
        <f t="shared" si="30"/>
        <v>0</v>
      </c>
      <c r="DD110" t="s">
        <v>6</v>
      </c>
      <c r="DE110" t="s">
        <v>6</v>
      </c>
      <c r="DF110">
        <f t="shared" si="37"/>
        <v>4858.72</v>
      </c>
      <c r="DG110">
        <f t="shared" si="38"/>
        <v>0</v>
      </c>
      <c r="DH110">
        <f>Source!I64*SmtRes!Y110</f>
        <v>2</v>
      </c>
      <c r="DI110">
        <f t="shared" si="39"/>
        <v>2429.36</v>
      </c>
      <c r="DJ110">
        <f>EtalonRes!Y99</f>
        <v>266.67</v>
      </c>
      <c r="DK110" t="e">
        <f>Source!BC64</f>
        <v>#REF!</v>
      </c>
      <c r="DL110" t="s">
        <v>6</v>
      </c>
      <c r="DM110">
        <v>0</v>
      </c>
      <c r="DN110" t="s">
        <v>6</v>
      </c>
      <c r="DO110">
        <v>0</v>
      </c>
      <c r="GQ110">
        <v>-1</v>
      </c>
      <c r="GR110">
        <v>-1</v>
      </c>
    </row>
    <row r="111" spans="1:200" x14ac:dyDescent="0.2">
      <c r="A111">
        <f>ROW(Source!A64)</f>
        <v>64</v>
      </c>
      <c r="B111">
        <v>67643165</v>
      </c>
      <c r="C111">
        <v>67667260</v>
      </c>
      <c r="D111">
        <v>49515638</v>
      </c>
      <c r="E111">
        <v>70</v>
      </c>
      <c r="F111">
        <v>1</v>
      </c>
      <c r="G111">
        <v>1</v>
      </c>
      <c r="H111">
        <v>3</v>
      </c>
      <c r="I111" t="s">
        <v>453</v>
      </c>
      <c r="J111" t="s">
        <v>6</v>
      </c>
      <c r="K111" t="s">
        <v>454</v>
      </c>
      <c r="L111">
        <v>1374</v>
      </c>
      <c r="N111">
        <v>1013</v>
      </c>
      <c r="O111" t="s">
        <v>455</v>
      </c>
      <c r="P111" t="s">
        <v>455</v>
      </c>
      <c r="Q111">
        <v>1</v>
      </c>
      <c r="W111">
        <v>0</v>
      </c>
      <c r="X111">
        <v>-1731369543</v>
      </c>
      <c r="Y111" s="211">
        <f>'6.Ведомость_списания'!F100</f>
        <v>3.62</v>
      </c>
      <c r="AA111">
        <v>9.11</v>
      </c>
      <c r="AB111">
        <v>0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0</v>
      </c>
      <c r="AI111">
        <v>9.11</v>
      </c>
      <c r="AJ111">
        <v>1</v>
      </c>
      <c r="AK111">
        <v>1</v>
      </c>
      <c r="AL111">
        <v>1</v>
      </c>
      <c r="AM111">
        <v>4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6</v>
      </c>
      <c r="AT111">
        <v>3.62</v>
      </c>
      <c r="AU111" t="s">
        <v>6</v>
      </c>
      <c r="AV111">
        <v>0</v>
      </c>
      <c r="AW111">
        <v>2</v>
      </c>
      <c r="AX111">
        <v>67667274</v>
      </c>
      <c r="AY111">
        <v>1</v>
      </c>
      <c r="AZ111">
        <v>0</v>
      </c>
      <c r="BA111">
        <v>100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ROUND(Y111*Source!I64,7)</f>
        <v>3.62</v>
      </c>
      <c r="CY111">
        <f t="shared" si="34"/>
        <v>9.11</v>
      </c>
      <c r="CZ111">
        <f t="shared" si="35"/>
        <v>1</v>
      </c>
      <c r="DA111">
        <f t="shared" si="36"/>
        <v>9.11</v>
      </c>
      <c r="DB111">
        <f t="shared" si="29"/>
        <v>3.62</v>
      </c>
      <c r="DC111">
        <f t="shared" si="30"/>
        <v>0</v>
      </c>
      <c r="DD111" t="s">
        <v>6</v>
      </c>
      <c r="DE111" t="s">
        <v>6</v>
      </c>
      <c r="DF111">
        <f t="shared" si="37"/>
        <v>32.979999999999997</v>
      </c>
      <c r="DG111">
        <f t="shared" si="38"/>
        <v>0</v>
      </c>
      <c r="DH111">
        <f>Source!I64*SmtRes!Y111</f>
        <v>3.62</v>
      </c>
      <c r="DI111">
        <f t="shared" si="39"/>
        <v>9.11</v>
      </c>
      <c r="DJ111">
        <f>EtalonRes!Y100</f>
        <v>1</v>
      </c>
      <c r="DK111" t="e">
        <f>Source!BC64</f>
        <v>#REF!</v>
      </c>
      <c r="DL111" t="s">
        <v>6</v>
      </c>
      <c r="DM111">
        <v>0</v>
      </c>
      <c r="DN111" t="s">
        <v>6</v>
      </c>
      <c r="DO111">
        <v>0</v>
      </c>
      <c r="GQ111">
        <v>-1</v>
      </c>
      <c r="GR111">
        <v>-1</v>
      </c>
    </row>
    <row r="112" spans="1:200" x14ac:dyDescent="0.2">
      <c r="A112">
        <f>ROW(Source!A64)</f>
        <v>64</v>
      </c>
      <c r="B112">
        <v>67643165</v>
      </c>
      <c r="C112">
        <v>67667260</v>
      </c>
      <c r="D112">
        <v>0</v>
      </c>
      <c r="E112">
        <v>0</v>
      </c>
      <c r="F112">
        <v>1</v>
      </c>
      <c r="G112">
        <v>1</v>
      </c>
      <c r="H112">
        <v>3</v>
      </c>
      <c r="I112" t="s">
        <v>84</v>
      </c>
      <c r="J112" t="s">
        <v>6</v>
      </c>
      <c r="K112" t="s">
        <v>192</v>
      </c>
      <c r="L112">
        <v>1354</v>
      </c>
      <c r="N112">
        <v>1010</v>
      </c>
      <c r="O112" t="s">
        <v>193</v>
      </c>
      <c r="P112" t="s">
        <v>193</v>
      </c>
      <c r="Q112">
        <v>1</v>
      </c>
      <c r="W112">
        <v>0</v>
      </c>
      <c r="X112">
        <v>1220972358</v>
      </c>
      <c r="Y112">
        <f t="shared" si="31"/>
        <v>1</v>
      </c>
      <c r="AA112">
        <v>98280</v>
      </c>
      <c r="AB112">
        <v>0</v>
      </c>
      <c r="AC112">
        <v>0</v>
      </c>
      <c r="AD112">
        <v>0</v>
      </c>
      <c r="AE112">
        <v>103353.20999999999</v>
      </c>
      <c r="AF112">
        <v>0</v>
      </c>
      <c r="AG112">
        <v>0</v>
      </c>
      <c r="AH112">
        <v>0</v>
      </c>
      <c r="AI112">
        <v>9.11</v>
      </c>
      <c r="AJ112">
        <v>1</v>
      </c>
      <c r="AK112">
        <v>1</v>
      </c>
      <c r="AL112">
        <v>1</v>
      </c>
      <c r="AM112">
        <v>0</v>
      </c>
      <c r="AN112">
        <v>0</v>
      </c>
      <c r="AO112">
        <v>0</v>
      </c>
      <c r="AP112">
        <v>1</v>
      </c>
      <c r="AQ112">
        <v>0</v>
      </c>
      <c r="AR112">
        <v>0</v>
      </c>
      <c r="AS112" t="s">
        <v>6</v>
      </c>
      <c r="AT112">
        <v>1</v>
      </c>
      <c r="AU112" t="s">
        <v>6</v>
      </c>
      <c r="AV112">
        <v>0</v>
      </c>
      <c r="AW112">
        <v>1</v>
      </c>
      <c r="AX112">
        <v>-1</v>
      </c>
      <c r="AY112">
        <v>0</v>
      </c>
      <c r="AZ112">
        <v>0</v>
      </c>
      <c r="BA112" t="s">
        <v>6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ROUND(Y112*Source!I64,7)</f>
        <v>1</v>
      </c>
      <c r="CY112">
        <f t="shared" si="34"/>
        <v>98280</v>
      </c>
      <c r="CZ112">
        <f t="shared" si="35"/>
        <v>103353.20999999999</v>
      </c>
      <c r="DA112">
        <f t="shared" si="36"/>
        <v>9.11</v>
      </c>
      <c r="DB112">
        <f t="shared" si="29"/>
        <v>103353.21</v>
      </c>
      <c r="DC112">
        <f t="shared" si="30"/>
        <v>0</v>
      </c>
      <c r="DD112" t="s">
        <v>6</v>
      </c>
      <c r="DE112" t="s">
        <v>6</v>
      </c>
      <c r="DF112">
        <f t="shared" si="37"/>
        <v>941547.74</v>
      </c>
      <c r="DG112">
        <f t="shared" si="38"/>
        <v>0</v>
      </c>
      <c r="DH112">
        <f>Source!I64*SmtRes!Y112</f>
        <v>1</v>
      </c>
      <c r="DI112">
        <f t="shared" si="39"/>
        <v>98280</v>
      </c>
      <c r="DJ112">
        <f t="shared" ref="DJ112" si="40">DF112</f>
        <v>941547.74</v>
      </c>
      <c r="DK112" t="e">
        <f>Source!BC64</f>
        <v>#REF!</v>
      </c>
      <c r="DL112" t="s">
        <v>6</v>
      </c>
      <c r="DM112">
        <v>0</v>
      </c>
      <c r="DN112" t="s">
        <v>6</v>
      </c>
      <c r="DO112">
        <v>0</v>
      </c>
      <c r="GP112">
        <v>1</v>
      </c>
      <c r="GQ112">
        <v>-1</v>
      </c>
      <c r="GR112">
        <v>-1</v>
      </c>
    </row>
    <row r="113" spans="1:200" x14ac:dyDescent="0.2">
      <c r="A113">
        <f>ROW(Source!A66)</f>
        <v>66</v>
      </c>
      <c r="B113">
        <v>67643165</v>
      </c>
      <c r="C113">
        <v>67643443</v>
      </c>
      <c r="D113">
        <v>49510715</v>
      </c>
      <c r="E113">
        <v>70</v>
      </c>
      <c r="F113">
        <v>1</v>
      </c>
      <c r="G113">
        <v>1</v>
      </c>
      <c r="H113">
        <v>1</v>
      </c>
      <c r="I113" t="s">
        <v>456</v>
      </c>
      <c r="J113" t="s">
        <v>6</v>
      </c>
      <c r="K113" t="s">
        <v>457</v>
      </c>
      <c r="L113">
        <v>1191</v>
      </c>
      <c r="N113">
        <v>1013</v>
      </c>
      <c r="O113" t="s">
        <v>340</v>
      </c>
      <c r="P113" t="s">
        <v>340</v>
      </c>
      <c r="Q113">
        <v>1</v>
      </c>
      <c r="W113">
        <v>0</v>
      </c>
      <c r="X113">
        <v>1049124552</v>
      </c>
      <c r="Y113">
        <f t="shared" ref="Y113:Y128" si="41">AT113</f>
        <v>28.8</v>
      </c>
      <c r="AA113">
        <v>0</v>
      </c>
      <c r="AB113">
        <v>0</v>
      </c>
      <c r="AC113">
        <v>0</v>
      </c>
      <c r="AD113">
        <v>284.82</v>
      </c>
      <c r="AE113">
        <v>0</v>
      </c>
      <c r="AF113">
        <v>0</v>
      </c>
      <c r="AG113">
        <v>0</v>
      </c>
      <c r="AH113">
        <v>8.5299999999999994</v>
      </c>
      <c r="AI113">
        <v>1</v>
      </c>
      <c r="AJ113">
        <v>1</v>
      </c>
      <c r="AK113">
        <v>1</v>
      </c>
      <c r="AL113">
        <v>33.39</v>
      </c>
      <c r="AM113">
        <v>4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6</v>
      </c>
      <c r="AT113">
        <v>28.8</v>
      </c>
      <c r="AU113" t="s">
        <v>6</v>
      </c>
      <c r="AV113">
        <v>1</v>
      </c>
      <c r="AW113">
        <v>2</v>
      </c>
      <c r="AX113">
        <v>67643446</v>
      </c>
      <c r="AY113">
        <v>1</v>
      </c>
      <c r="AZ113">
        <v>0</v>
      </c>
      <c r="BA113">
        <v>101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U113">
        <f>ROUND(AT113*Source!I66*AH113*AL113,2)</f>
        <v>3625.6</v>
      </c>
      <c r="CV113">
        <f>ROUND(Y113*Source!I66,7)</f>
        <v>12.7296</v>
      </c>
      <c r="CW113">
        <v>0</v>
      </c>
      <c r="CX113">
        <f>ROUND(Y113*Source!I66,7)</f>
        <v>12.7296</v>
      </c>
      <c r="CY113">
        <f>AD113</f>
        <v>284.82</v>
      </c>
      <c r="CZ113">
        <f>AH113</f>
        <v>8.5299999999999994</v>
      </c>
      <c r="DA113">
        <f>AL113</f>
        <v>33.39</v>
      </c>
      <c r="DB113">
        <f t="shared" ref="DB113:DB128" si="42">ROUND(ROUND(AT113*CZ113,2),2)</f>
        <v>245.66</v>
      </c>
      <c r="DC113">
        <f t="shared" ref="DC113:DC128" si="43">ROUND(ROUND(AT113*AG113,2),2)</f>
        <v>0</v>
      </c>
      <c r="DD113" t="s">
        <v>6</v>
      </c>
      <c r="DE113" t="s">
        <v>6</v>
      </c>
      <c r="DF113">
        <f>ROUND(ROUND(AE113,2)*CX113,2)</f>
        <v>0</v>
      </c>
      <c r="DG113">
        <f t="shared" si="38"/>
        <v>0</v>
      </c>
      <c r="DH113">
        <f>Source!I66*SmtRes!Y113</f>
        <v>12.7296</v>
      </c>
      <c r="DI113">
        <f>AD113</f>
        <v>284.82</v>
      </c>
      <c r="DJ113">
        <f>EtalonRes!AB101</f>
        <v>8.5299999999999994</v>
      </c>
      <c r="DK113" t="e">
        <f>Source!BA66</f>
        <v>#REF!</v>
      </c>
      <c r="DL113" t="s">
        <v>6</v>
      </c>
      <c r="DM113">
        <v>0</v>
      </c>
      <c r="DN113" t="s">
        <v>6</v>
      </c>
      <c r="DO113">
        <v>0</v>
      </c>
      <c r="GQ113">
        <v>-1</v>
      </c>
      <c r="GR113">
        <v>-1</v>
      </c>
    </row>
    <row r="114" spans="1:200" x14ac:dyDescent="0.2">
      <c r="A114">
        <f>ROW(Source!A66)</f>
        <v>66</v>
      </c>
      <c r="B114">
        <v>67643165</v>
      </c>
      <c r="C114">
        <v>67643443</v>
      </c>
      <c r="D114">
        <v>49523203</v>
      </c>
      <c r="E114">
        <v>1</v>
      </c>
      <c r="F114">
        <v>1</v>
      </c>
      <c r="G114">
        <v>1</v>
      </c>
      <c r="H114">
        <v>3</v>
      </c>
      <c r="I114" t="s">
        <v>367</v>
      </c>
      <c r="J114" t="s">
        <v>368</v>
      </c>
      <c r="K114" t="s">
        <v>369</v>
      </c>
      <c r="L114">
        <v>1339</v>
      </c>
      <c r="N114">
        <v>1007</v>
      </c>
      <c r="O114" t="s">
        <v>33</v>
      </c>
      <c r="P114" t="s">
        <v>33</v>
      </c>
      <c r="Q114">
        <v>1</v>
      </c>
      <c r="W114">
        <v>0</v>
      </c>
      <c r="X114">
        <v>-143474561</v>
      </c>
      <c r="Y114" s="211">
        <f>'6.Ведомость_списания'!F103</f>
        <v>256</v>
      </c>
      <c r="AA114">
        <v>22.23</v>
      </c>
      <c r="AB114">
        <v>0</v>
      </c>
      <c r="AC114">
        <v>0</v>
      </c>
      <c r="AD114">
        <v>0</v>
      </c>
      <c r="AE114">
        <v>2.44</v>
      </c>
      <c r="AF114">
        <v>0</v>
      </c>
      <c r="AG114">
        <v>0</v>
      </c>
      <c r="AH114">
        <v>0</v>
      </c>
      <c r="AI114">
        <v>9.11</v>
      </c>
      <c r="AJ114">
        <v>1</v>
      </c>
      <c r="AK114">
        <v>1</v>
      </c>
      <c r="AL114">
        <v>1</v>
      </c>
      <c r="AM114">
        <v>4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6</v>
      </c>
      <c r="AT114">
        <v>256</v>
      </c>
      <c r="AU114" t="s">
        <v>6</v>
      </c>
      <c r="AV114">
        <v>0</v>
      </c>
      <c r="AW114">
        <v>2</v>
      </c>
      <c r="AX114">
        <v>67643447</v>
      </c>
      <c r="AY114">
        <v>1</v>
      </c>
      <c r="AZ114">
        <v>0</v>
      </c>
      <c r="BA114">
        <v>102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ROUND(Y114*Source!I66,7)</f>
        <v>113.152</v>
      </c>
      <c r="CY114">
        <f>AA114</f>
        <v>22.23</v>
      </c>
      <c r="CZ114">
        <f>AE114</f>
        <v>2.44</v>
      </c>
      <c r="DA114">
        <f>AI114</f>
        <v>9.11</v>
      </c>
      <c r="DB114">
        <f t="shared" si="42"/>
        <v>624.64</v>
      </c>
      <c r="DC114">
        <f t="shared" si="43"/>
        <v>0</v>
      </c>
      <c r="DD114" t="s">
        <v>6</v>
      </c>
      <c r="DE114" t="s">
        <v>6</v>
      </c>
      <c r="DF114">
        <f>ROUND(ROUND(AE114*AI114,2)*CX114,2)</f>
        <v>2515.37</v>
      </c>
      <c r="DG114">
        <f t="shared" si="38"/>
        <v>0</v>
      </c>
      <c r="DH114">
        <f>Source!I66*SmtRes!Y114</f>
        <v>113.152</v>
      </c>
      <c r="DI114">
        <f>AA114</f>
        <v>22.23</v>
      </c>
      <c r="DJ114">
        <f>EtalonRes!Y102</f>
        <v>2.44</v>
      </c>
      <c r="DK114" t="e">
        <f>Source!BC66</f>
        <v>#REF!</v>
      </c>
      <c r="DL114" t="s">
        <v>6</v>
      </c>
      <c r="DM114">
        <v>0</v>
      </c>
      <c r="DN114" t="s">
        <v>6</v>
      </c>
      <c r="DO114">
        <v>0</v>
      </c>
      <c r="GQ114">
        <v>-1</v>
      </c>
      <c r="GR114">
        <v>-1</v>
      </c>
    </row>
    <row r="115" spans="1:200" x14ac:dyDescent="0.2">
      <c r="A115">
        <f>ROW(Source!A67)</f>
        <v>67</v>
      </c>
      <c r="B115">
        <v>67643165</v>
      </c>
      <c r="C115">
        <v>67643448</v>
      </c>
      <c r="D115">
        <v>49510731</v>
      </c>
      <c r="E115">
        <v>70</v>
      </c>
      <c r="F115">
        <v>1</v>
      </c>
      <c r="G115">
        <v>1</v>
      </c>
      <c r="H115">
        <v>1</v>
      </c>
      <c r="I115" t="s">
        <v>370</v>
      </c>
      <c r="J115" t="s">
        <v>6</v>
      </c>
      <c r="K115" t="s">
        <v>371</v>
      </c>
      <c r="L115">
        <v>1191</v>
      </c>
      <c r="N115">
        <v>1013</v>
      </c>
      <c r="O115" t="s">
        <v>340</v>
      </c>
      <c r="P115" t="s">
        <v>340</v>
      </c>
      <c r="Q115">
        <v>1</v>
      </c>
      <c r="W115">
        <v>0</v>
      </c>
      <c r="X115">
        <v>1893946532</v>
      </c>
      <c r="Y115">
        <f t="shared" si="41"/>
        <v>17.010000000000002</v>
      </c>
      <c r="AA115">
        <v>0</v>
      </c>
      <c r="AB115">
        <v>0</v>
      </c>
      <c r="AC115">
        <v>0</v>
      </c>
      <c r="AD115">
        <v>302.85000000000002</v>
      </c>
      <c r="AE115">
        <v>0</v>
      </c>
      <c r="AF115">
        <v>0</v>
      </c>
      <c r="AG115">
        <v>0</v>
      </c>
      <c r="AH115">
        <v>9.07</v>
      </c>
      <c r="AI115">
        <v>1</v>
      </c>
      <c r="AJ115">
        <v>1</v>
      </c>
      <c r="AK115">
        <v>1</v>
      </c>
      <c r="AL115">
        <v>33.39</v>
      </c>
      <c r="AM115">
        <v>4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6</v>
      </c>
      <c r="AT115">
        <v>17.010000000000002</v>
      </c>
      <c r="AU115" t="s">
        <v>6</v>
      </c>
      <c r="AV115">
        <v>1</v>
      </c>
      <c r="AW115">
        <v>2</v>
      </c>
      <c r="AX115">
        <v>67643455</v>
      </c>
      <c r="AY115">
        <v>1</v>
      </c>
      <c r="AZ115">
        <v>0</v>
      </c>
      <c r="BA115">
        <v>103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U115">
        <f>ROUND(AT115*Source!I67*AH115*AL115,2)</f>
        <v>0</v>
      </c>
      <c r="CV115">
        <f>ROUND(Y115*Source!I67,7)</f>
        <v>0</v>
      </c>
      <c r="CW115">
        <v>0</v>
      </c>
      <c r="CX115">
        <f>ROUND(Y115*Source!I67,7)</f>
        <v>0</v>
      </c>
      <c r="CY115">
        <f>AD115</f>
        <v>302.85000000000002</v>
      </c>
      <c r="CZ115">
        <f>AH115</f>
        <v>9.07</v>
      </c>
      <c r="DA115">
        <f>AL115</f>
        <v>33.39</v>
      </c>
      <c r="DB115">
        <f t="shared" si="42"/>
        <v>154.28</v>
      </c>
      <c r="DC115">
        <f t="shared" si="43"/>
        <v>0</v>
      </c>
      <c r="DD115" t="s">
        <v>6</v>
      </c>
      <c r="DE115" t="s">
        <v>6</v>
      </c>
      <c r="DF115">
        <f>ROUND(ROUND(AE115,2)*CX115,2)</f>
        <v>0</v>
      </c>
      <c r="DG115">
        <f t="shared" si="38"/>
        <v>0</v>
      </c>
      <c r="DH115">
        <f>Source!I67*SmtRes!Y115</f>
        <v>0</v>
      </c>
      <c r="DI115">
        <f>AD115</f>
        <v>302.85000000000002</v>
      </c>
      <c r="DJ115">
        <f>EtalonRes!AB103</f>
        <v>9.07</v>
      </c>
      <c r="DK115">
        <f>Source!BA67</f>
        <v>33.39</v>
      </c>
      <c r="DL115" t="s">
        <v>6</v>
      </c>
      <c r="DM115">
        <v>0</v>
      </c>
      <c r="DN115" t="s">
        <v>6</v>
      </c>
      <c r="DO115">
        <v>0</v>
      </c>
      <c r="GQ115">
        <v>-1</v>
      </c>
      <c r="GR115">
        <v>-1</v>
      </c>
    </row>
    <row r="116" spans="1:200" x14ac:dyDescent="0.2">
      <c r="A116">
        <f>ROW(Source!A67)</f>
        <v>67</v>
      </c>
      <c r="B116">
        <v>67643165</v>
      </c>
      <c r="C116">
        <v>67643448</v>
      </c>
      <c r="D116">
        <v>49523843</v>
      </c>
      <c r="E116">
        <v>1</v>
      </c>
      <c r="F116">
        <v>1</v>
      </c>
      <c r="G116">
        <v>1</v>
      </c>
      <c r="H116">
        <v>3</v>
      </c>
      <c r="I116" t="s">
        <v>381</v>
      </c>
      <c r="J116" t="s">
        <v>382</v>
      </c>
      <c r="K116" t="s">
        <v>383</v>
      </c>
      <c r="L116">
        <v>1348</v>
      </c>
      <c r="N116">
        <v>1009</v>
      </c>
      <c r="O116" t="s">
        <v>129</v>
      </c>
      <c r="P116" t="s">
        <v>129</v>
      </c>
      <c r="Q116">
        <v>1000</v>
      </c>
      <c r="W116">
        <v>0</v>
      </c>
      <c r="X116">
        <v>1511150967</v>
      </c>
      <c r="Y116">
        <f t="shared" si="41"/>
        <v>1E-3</v>
      </c>
      <c r="AA116">
        <v>273573.3</v>
      </c>
      <c r="AB116">
        <v>0</v>
      </c>
      <c r="AC116">
        <v>0</v>
      </c>
      <c r="AD116">
        <v>0</v>
      </c>
      <c r="AE116">
        <v>30030</v>
      </c>
      <c r="AF116">
        <v>0</v>
      </c>
      <c r="AG116">
        <v>0</v>
      </c>
      <c r="AH116">
        <v>0</v>
      </c>
      <c r="AI116">
        <v>9.11</v>
      </c>
      <c r="AJ116">
        <v>1</v>
      </c>
      <c r="AK116">
        <v>1</v>
      </c>
      <c r="AL116">
        <v>1</v>
      </c>
      <c r="AM116">
        <v>4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6</v>
      </c>
      <c r="AT116">
        <v>1E-3</v>
      </c>
      <c r="AU116" t="s">
        <v>6</v>
      </c>
      <c r="AV116">
        <v>0</v>
      </c>
      <c r="AW116">
        <v>2</v>
      </c>
      <c r="AX116">
        <v>67643456</v>
      </c>
      <c r="AY116">
        <v>1</v>
      </c>
      <c r="AZ116">
        <v>0</v>
      </c>
      <c r="BA116">
        <v>104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ROUND(Y116*Source!I67,7)</f>
        <v>0</v>
      </c>
      <c r="CY116">
        <f>AA116</f>
        <v>273573.3</v>
      </c>
      <c r="CZ116">
        <f>AE116</f>
        <v>30030</v>
      </c>
      <c r="DA116">
        <f>AI116</f>
        <v>9.11</v>
      </c>
      <c r="DB116">
        <f t="shared" si="42"/>
        <v>30.03</v>
      </c>
      <c r="DC116">
        <f t="shared" si="43"/>
        <v>0</v>
      </c>
      <c r="DD116" t="s">
        <v>6</v>
      </c>
      <c r="DE116" t="s">
        <v>6</v>
      </c>
      <c r="DF116">
        <f>ROUND(ROUND(AE116*AI116,2)*CX116,2)</f>
        <v>0</v>
      </c>
      <c r="DG116">
        <f t="shared" si="38"/>
        <v>0</v>
      </c>
      <c r="DH116">
        <f>Source!I67*SmtRes!Y116</f>
        <v>0</v>
      </c>
      <c r="DI116">
        <f>AA116</f>
        <v>273573.3</v>
      </c>
      <c r="DJ116">
        <f>EtalonRes!Y104</f>
        <v>30030</v>
      </c>
      <c r="DK116">
        <f>Source!BC67</f>
        <v>9.11</v>
      </c>
      <c r="DL116" t="s">
        <v>6</v>
      </c>
      <c r="DM116">
        <v>0</v>
      </c>
      <c r="DN116" t="s">
        <v>6</v>
      </c>
      <c r="DO116">
        <v>0</v>
      </c>
      <c r="GQ116">
        <v>-1</v>
      </c>
      <c r="GR116">
        <v>-1</v>
      </c>
    </row>
    <row r="117" spans="1:200" x14ac:dyDescent="0.2">
      <c r="A117">
        <f>ROW(Source!A67)</f>
        <v>67</v>
      </c>
      <c r="B117">
        <v>67643165</v>
      </c>
      <c r="C117">
        <v>67643448</v>
      </c>
      <c r="D117">
        <v>49527507</v>
      </c>
      <c r="E117">
        <v>1</v>
      </c>
      <c r="F117">
        <v>1</v>
      </c>
      <c r="G117">
        <v>1</v>
      </c>
      <c r="H117">
        <v>3</v>
      </c>
      <c r="I117" t="s">
        <v>458</v>
      </c>
      <c r="J117" t="s">
        <v>459</v>
      </c>
      <c r="K117" t="s">
        <v>460</v>
      </c>
      <c r="L117">
        <v>1339</v>
      </c>
      <c r="N117">
        <v>1007</v>
      </c>
      <c r="O117" t="s">
        <v>33</v>
      </c>
      <c r="P117" t="s">
        <v>33</v>
      </c>
      <c r="Q117">
        <v>1</v>
      </c>
      <c r="W117">
        <v>0</v>
      </c>
      <c r="X117">
        <v>458429195</v>
      </c>
      <c r="Y117">
        <f t="shared" si="41"/>
        <v>0.2</v>
      </c>
      <c r="AA117">
        <v>546.51</v>
      </c>
      <c r="AB117">
        <v>0</v>
      </c>
      <c r="AC117">
        <v>0</v>
      </c>
      <c r="AD117">
        <v>0</v>
      </c>
      <c r="AE117">
        <v>59.99</v>
      </c>
      <c r="AF117">
        <v>0</v>
      </c>
      <c r="AG117">
        <v>0</v>
      </c>
      <c r="AH117">
        <v>0</v>
      </c>
      <c r="AI117">
        <v>9.11</v>
      </c>
      <c r="AJ117">
        <v>1</v>
      </c>
      <c r="AK117">
        <v>1</v>
      </c>
      <c r="AL117">
        <v>1</v>
      </c>
      <c r="AM117">
        <v>4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6</v>
      </c>
      <c r="AT117">
        <v>0.2</v>
      </c>
      <c r="AU117" t="s">
        <v>6</v>
      </c>
      <c r="AV117">
        <v>0</v>
      </c>
      <c r="AW117">
        <v>2</v>
      </c>
      <c r="AX117">
        <v>67643457</v>
      </c>
      <c r="AY117">
        <v>1</v>
      </c>
      <c r="AZ117">
        <v>0</v>
      </c>
      <c r="BA117">
        <v>105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ROUND(Y117*Source!I67,7)</f>
        <v>0</v>
      </c>
      <c r="CY117">
        <f>AA117</f>
        <v>546.51</v>
      </c>
      <c r="CZ117">
        <f>AE117</f>
        <v>59.99</v>
      </c>
      <c r="DA117">
        <f>AI117</f>
        <v>9.11</v>
      </c>
      <c r="DB117">
        <f t="shared" si="42"/>
        <v>12</v>
      </c>
      <c r="DC117">
        <f t="shared" si="43"/>
        <v>0</v>
      </c>
      <c r="DD117" t="s">
        <v>6</v>
      </c>
      <c r="DE117" t="s">
        <v>6</v>
      </c>
      <c r="DF117">
        <f>ROUND(ROUND(AE117*AI117,2)*CX117,2)</f>
        <v>0</v>
      </c>
      <c r="DG117">
        <f t="shared" si="38"/>
        <v>0</v>
      </c>
      <c r="DH117">
        <f>Source!I67*SmtRes!Y117</f>
        <v>0</v>
      </c>
      <c r="DI117">
        <f>AA117</f>
        <v>546.51</v>
      </c>
      <c r="DJ117">
        <f>EtalonRes!Y105</f>
        <v>59.99</v>
      </c>
      <c r="DK117">
        <f>Source!BC67</f>
        <v>9.11</v>
      </c>
      <c r="DL117" t="s">
        <v>6</v>
      </c>
      <c r="DM117">
        <v>0</v>
      </c>
      <c r="DN117" t="s">
        <v>6</v>
      </c>
      <c r="DO117">
        <v>0</v>
      </c>
      <c r="GQ117">
        <v>-1</v>
      </c>
      <c r="GR117">
        <v>-1</v>
      </c>
    </row>
    <row r="118" spans="1:200" x14ac:dyDescent="0.2">
      <c r="A118">
        <f>ROW(Source!A67)</f>
        <v>67</v>
      </c>
      <c r="B118">
        <v>67643165</v>
      </c>
      <c r="C118">
        <v>67643448</v>
      </c>
      <c r="D118">
        <v>49527755</v>
      </c>
      <c r="E118">
        <v>1</v>
      </c>
      <c r="F118">
        <v>1</v>
      </c>
      <c r="G118">
        <v>1</v>
      </c>
      <c r="H118">
        <v>3</v>
      </c>
      <c r="I118" t="s">
        <v>461</v>
      </c>
      <c r="J118" t="s">
        <v>462</v>
      </c>
      <c r="K118" t="s">
        <v>463</v>
      </c>
      <c r="L118">
        <v>1348</v>
      </c>
      <c r="N118">
        <v>1009</v>
      </c>
      <c r="O118" t="s">
        <v>129</v>
      </c>
      <c r="P118" t="s">
        <v>129</v>
      </c>
      <c r="Q118">
        <v>1000</v>
      </c>
      <c r="W118">
        <v>0</v>
      </c>
      <c r="X118">
        <v>819297291</v>
      </c>
      <c r="Y118">
        <f t="shared" si="41"/>
        <v>1E-3</v>
      </c>
      <c r="AA118">
        <v>3862.64</v>
      </c>
      <c r="AB118">
        <v>0</v>
      </c>
      <c r="AC118">
        <v>0</v>
      </c>
      <c r="AD118">
        <v>0</v>
      </c>
      <c r="AE118">
        <v>424</v>
      </c>
      <c r="AF118">
        <v>0</v>
      </c>
      <c r="AG118">
        <v>0</v>
      </c>
      <c r="AH118">
        <v>0</v>
      </c>
      <c r="AI118">
        <v>9.11</v>
      </c>
      <c r="AJ118">
        <v>1</v>
      </c>
      <c r="AK118">
        <v>1</v>
      </c>
      <c r="AL118">
        <v>1</v>
      </c>
      <c r="AM118">
        <v>4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6</v>
      </c>
      <c r="AT118">
        <v>1E-3</v>
      </c>
      <c r="AU118" t="s">
        <v>6</v>
      </c>
      <c r="AV118">
        <v>0</v>
      </c>
      <c r="AW118">
        <v>2</v>
      </c>
      <c r="AX118">
        <v>67643458</v>
      </c>
      <c r="AY118">
        <v>1</v>
      </c>
      <c r="AZ118">
        <v>0</v>
      </c>
      <c r="BA118">
        <v>106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ROUND(Y118*Source!I67,7)</f>
        <v>0</v>
      </c>
      <c r="CY118">
        <f>AA118</f>
        <v>3862.64</v>
      </c>
      <c r="CZ118">
        <f>AE118</f>
        <v>424</v>
      </c>
      <c r="DA118">
        <f>AI118</f>
        <v>9.11</v>
      </c>
      <c r="DB118">
        <f t="shared" si="42"/>
        <v>0.42</v>
      </c>
      <c r="DC118">
        <f t="shared" si="43"/>
        <v>0</v>
      </c>
      <c r="DD118" t="s">
        <v>6</v>
      </c>
      <c r="DE118" t="s">
        <v>6</v>
      </c>
      <c r="DF118">
        <f>ROUND(ROUND(AE118*AI118,2)*CX118,2)</f>
        <v>0</v>
      </c>
      <c r="DG118">
        <f t="shared" si="38"/>
        <v>0</v>
      </c>
      <c r="DH118">
        <f>Source!I67*SmtRes!Y118</f>
        <v>0</v>
      </c>
      <c r="DI118">
        <f>AA118</f>
        <v>3862.64</v>
      </c>
      <c r="DJ118">
        <f>EtalonRes!Y106</f>
        <v>424</v>
      </c>
      <c r="DK118">
        <f>Source!BC67</f>
        <v>9.11</v>
      </c>
      <c r="DL118" t="s">
        <v>6</v>
      </c>
      <c r="DM118">
        <v>0</v>
      </c>
      <c r="DN118" t="s">
        <v>6</v>
      </c>
      <c r="DO118">
        <v>0</v>
      </c>
      <c r="GQ118">
        <v>-1</v>
      </c>
      <c r="GR118">
        <v>-1</v>
      </c>
    </row>
    <row r="119" spans="1:200" x14ac:dyDescent="0.2">
      <c r="A119">
        <f>ROW(Source!A67)</f>
        <v>67</v>
      </c>
      <c r="B119">
        <v>67643165</v>
      </c>
      <c r="C119">
        <v>67643448</v>
      </c>
      <c r="D119">
        <v>49528287</v>
      </c>
      <c r="E119">
        <v>1</v>
      </c>
      <c r="F119">
        <v>1</v>
      </c>
      <c r="G119">
        <v>1</v>
      </c>
      <c r="H119">
        <v>3</v>
      </c>
      <c r="I119" t="s">
        <v>464</v>
      </c>
      <c r="J119" t="s">
        <v>465</v>
      </c>
      <c r="K119" t="s">
        <v>466</v>
      </c>
      <c r="L119">
        <v>1339</v>
      </c>
      <c r="N119">
        <v>1007</v>
      </c>
      <c r="O119" t="s">
        <v>33</v>
      </c>
      <c r="P119" t="s">
        <v>33</v>
      </c>
      <c r="Q119">
        <v>1</v>
      </c>
      <c r="W119">
        <v>0</v>
      </c>
      <c r="X119">
        <v>-203951308</v>
      </c>
      <c r="Y119">
        <f t="shared" si="41"/>
        <v>6.5000000000000002E-2</v>
      </c>
      <c r="AA119">
        <v>5466</v>
      </c>
      <c r="AB119">
        <v>0</v>
      </c>
      <c r="AC119">
        <v>0</v>
      </c>
      <c r="AD119">
        <v>0</v>
      </c>
      <c r="AE119">
        <v>600</v>
      </c>
      <c r="AF119">
        <v>0</v>
      </c>
      <c r="AG119">
        <v>0</v>
      </c>
      <c r="AH119">
        <v>0</v>
      </c>
      <c r="AI119">
        <v>9.11</v>
      </c>
      <c r="AJ119">
        <v>1</v>
      </c>
      <c r="AK119">
        <v>1</v>
      </c>
      <c r="AL119">
        <v>1</v>
      </c>
      <c r="AM119">
        <v>4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6</v>
      </c>
      <c r="AT119">
        <v>6.5000000000000002E-2</v>
      </c>
      <c r="AU119" t="s">
        <v>6</v>
      </c>
      <c r="AV119">
        <v>0</v>
      </c>
      <c r="AW119">
        <v>2</v>
      </c>
      <c r="AX119">
        <v>67643459</v>
      </c>
      <c r="AY119">
        <v>1</v>
      </c>
      <c r="AZ119">
        <v>0</v>
      </c>
      <c r="BA119">
        <v>107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ROUND(Y119*Source!I67,7)</f>
        <v>0</v>
      </c>
      <c r="CY119">
        <f>AA119</f>
        <v>5466</v>
      </c>
      <c r="CZ119">
        <f>AE119</f>
        <v>600</v>
      </c>
      <c r="DA119">
        <f>AI119</f>
        <v>9.11</v>
      </c>
      <c r="DB119">
        <f t="shared" si="42"/>
        <v>39</v>
      </c>
      <c r="DC119">
        <f t="shared" si="43"/>
        <v>0</v>
      </c>
      <c r="DD119" t="s">
        <v>6</v>
      </c>
      <c r="DE119" t="s">
        <v>6</v>
      </c>
      <c r="DF119">
        <f>ROUND(ROUND(AE119*AI119,2)*CX119,2)</f>
        <v>0</v>
      </c>
      <c r="DG119">
        <f t="shared" si="38"/>
        <v>0</v>
      </c>
      <c r="DH119">
        <f>Source!I67*SmtRes!Y119</f>
        <v>0</v>
      </c>
      <c r="DI119">
        <f>AA119</f>
        <v>5466</v>
      </c>
      <c r="DJ119">
        <f>EtalonRes!Y107</f>
        <v>600</v>
      </c>
      <c r="DK119">
        <f>Source!BC67</f>
        <v>9.11</v>
      </c>
      <c r="DL119" t="s">
        <v>6</v>
      </c>
      <c r="DM119">
        <v>0</v>
      </c>
      <c r="DN119" t="s">
        <v>6</v>
      </c>
      <c r="DO119">
        <v>0</v>
      </c>
      <c r="GQ119">
        <v>-1</v>
      </c>
      <c r="GR119">
        <v>-1</v>
      </c>
    </row>
    <row r="120" spans="1:200" x14ac:dyDescent="0.2">
      <c r="A120">
        <f>ROW(Source!A67)</f>
        <v>67</v>
      </c>
      <c r="B120">
        <v>67643165</v>
      </c>
      <c r="C120">
        <v>67643448</v>
      </c>
      <c r="D120">
        <v>49528527</v>
      </c>
      <c r="E120">
        <v>1</v>
      </c>
      <c r="F120">
        <v>1</v>
      </c>
      <c r="G120">
        <v>1</v>
      </c>
      <c r="H120">
        <v>3</v>
      </c>
      <c r="I120" t="s">
        <v>416</v>
      </c>
      <c r="J120" t="s">
        <v>417</v>
      </c>
      <c r="K120" t="s">
        <v>418</v>
      </c>
      <c r="L120">
        <v>1339</v>
      </c>
      <c r="N120">
        <v>1007</v>
      </c>
      <c r="O120" t="s">
        <v>33</v>
      </c>
      <c r="P120" t="s">
        <v>33</v>
      </c>
      <c r="Q120">
        <v>1</v>
      </c>
      <c r="W120">
        <v>0</v>
      </c>
      <c r="X120">
        <v>461598558</v>
      </c>
      <c r="Y120">
        <f t="shared" si="41"/>
        <v>1E-3</v>
      </c>
      <c r="AA120">
        <v>4735.38</v>
      </c>
      <c r="AB120">
        <v>0</v>
      </c>
      <c r="AC120">
        <v>0</v>
      </c>
      <c r="AD120">
        <v>0</v>
      </c>
      <c r="AE120">
        <v>519.79999999999995</v>
      </c>
      <c r="AF120">
        <v>0</v>
      </c>
      <c r="AG120">
        <v>0</v>
      </c>
      <c r="AH120">
        <v>0</v>
      </c>
      <c r="AI120">
        <v>9.11</v>
      </c>
      <c r="AJ120">
        <v>1</v>
      </c>
      <c r="AK120">
        <v>1</v>
      </c>
      <c r="AL120">
        <v>1</v>
      </c>
      <c r="AM120">
        <v>4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6</v>
      </c>
      <c r="AT120">
        <v>1E-3</v>
      </c>
      <c r="AU120" t="s">
        <v>6</v>
      </c>
      <c r="AV120">
        <v>0</v>
      </c>
      <c r="AW120">
        <v>2</v>
      </c>
      <c r="AX120">
        <v>67643460</v>
      </c>
      <c r="AY120">
        <v>1</v>
      </c>
      <c r="AZ120">
        <v>0</v>
      </c>
      <c r="BA120">
        <v>108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ROUND(Y120*Source!I67,7)</f>
        <v>0</v>
      </c>
      <c r="CY120">
        <f>AA120</f>
        <v>4735.38</v>
      </c>
      <c r="CZ120">
        <f>AE120</f>
        <v>519.79999999999995</v>
      </c>
      <c r="DA120">
        <f>AI120</f>
        <v>9.11</v>
      </c>
      <c r="DB120">
        <f t="shared" si="42"/>
        <v>0.52</v>
      </c>
      <c r="DC120">
        <f t="shared" si="43"/>
        <v>0</v>
      </c>
      <c r="DD120" t="s">
        <v>6</v>
      </c>
      <c r="DE120" t="s">
        <v>6</v>
      </c>
      <c r="DF120">
        <f>ROUND(ROUND(AE120*AI120,2)*CX120,2)</f>
        <v>0</v>
      </c>
      <c r="DG120">
        <f t="shared" si="38"/>
        <v>0</v>
      </c>
      <c r="DH120">
        <f>Source!I67*SmtRes!Y120</f>
        <v>0</v>
      </c>
      <c r="DI120">
        <f>AA120</f>
        <v>4735.38</v>
      </c>
      <c r="DJ120">
        <f>EtalonRes!Y108</f>
        <v>519.79999999999995</v>
      </c>
      <c r="DK120">
        <f>Source!BC67</f>
        <v>9.11</v>
      </c>
      <c r="DL120" t="s">
        <v>6</v>
      </c>
      <c r="DM120">
        <v>0</v>
      </c>
      <c r="DN120" t="s">
        <v>6</v>
      </c>
      <c r="DO120">
        <v>0</v>
      </c>
      <c r="GQ120">
        <v>-1</v>
      </c>
      <c r="GR120">
        <v>-1</v>
      </c>
    </row>
    <row r="121" spans="1:200" x14ac:dyDescent="0.2">
      <c r="A121">
        <f>ROW(Source!A68)</f>
        <v>68</v>
      </c>
      <c r="B121">
        <v>67643165</v>
      </c>
      <c r="C121">
        <v>67643461</v>
      </c>
      <c r="D121">
        <v>49510657</v>
      </c>
      <c r="E121">
        <v>70</v>
      </c>
      <c r="F121">
        <v>1</v>
      </c>
      <c r="G121">
        <v>1</v>
      </c>
      <c r="H121">
        <v>1</v>
      </c>
      <c r="I121" t="s">
        <v>467</v>
      </c>
      <c r="J121" t="s">
        <v>6</v>
      </c>
      <c r="K121" t="s">
        <v>468</v>
      </c>
      <c r="L121">
        <v>1191</v>
      </c>
      <c r="N121">
        <v>1013</v>
      </c>
      <c r="O121" t="s">
        <v>340</v>
      </c>
      <c r="P121" t="s">
        <v>340</v>
      </c>
      <c r="Q121">
        <v>1</v>
      </c>
      <c r="W121">
        <v>0</v>
      </c>
      <c r="X121">
        <v>-1046754522</v>
      </c>
      <c r="Y121">
        <f t="shared" si="41"/>
        <v>88.5</v>
      </c>
      <c r="AA121">
        <v>0</v>
      </c>
      <c r="AB121">
        <v>0</v>
      </c>
      <c r="AC121">
        <v>0</v>
      </c>
      <c r="AD121">
        <v>250.43</v>
      </c>
      <c r="AE121">
        <v>0</v>
      </c>
      <c r="AF121">
        <v>0</v>
      </c>
      <c r="AG121">
        <v>0</v>
      </c>
      <c r="AH121">
        <v>7.5</v>
      </c>
      <c r="AI121">
        <v>1</v>
      </c>
      <c r="AJ121">
        <v>1</v>
      </c>
      <c r="AK121">
        <v>1</v>
      </c>
      <c r="AL121">
        <v>33.39</v>
      </c>
      <c r="AM121">
        <v>4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6</v>
      </c>
      <c r="AT121">
        <v>88.5</v>
      </c>
      <c r="AU121" t="s">
        <v>6</v>
      </c>
      <c r="AV121">
        <v>1</v>
      </c>
      <c r="AW121">
        <v>2</v>
      </c>
      <c r="AX121">
        <v>67643464</v>
      </c>
      <c r="AY121">
        <v>1</v>
      </c>
      <c r="AZ121">
        <v>0</v>
      </c>
      <c r="BA121">
        <v>109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U121">
        <f>ROUND(AT121*Source!I68*AH121*AL121,2)</f>
        <v>84661.18</v>
      </c>
      <c r="CV121">
        <f>ROUND(Y121*Source!I68,7)</f>
        <v>338.07</v>
      </c>
      <c r="CW121">
        <v>0</v>
      </c>
      <c r="CX121">
        <f>ROUND(Y121*Source!I68,7)</f>
        <v>338.07</v>
      </c>
      <c r="CY121">
        <f>AD121</f>
        <v>250.43</v>
      </c>
      <c r="CZ121">
        <f>AH121</f>
        <v>7.5</v>
      </c>
      <c r="DA121">
        <f>AL121</f>
        <v>33.39</v>
      </c>
      <c r="DB121">
        <f t="shared" si="42"/>
        <v>663.75</v>
      </c>
      <c r="DC121">
        <f t="shared" si="43"/>
        <v>0</v>
      </c>
      <c r="DD121" t="s">
        <v>6</v>
      </c>
      <c r="DE121" t="s">
        <v>6</v>
      </c>
      <c r="DF121">
        <f>ROUND(ROUND(AE121,2)*CX121,2)</f>
        <v>0</v>
      </c>
      <c r="DG121">
        <f t="shared" si="38"/>
        <v>0</v>
      </c>
      <c r="DH121">
        <f>Source!I68*SmtRes!Y121</f>
        <v>338.07</v>
      </c>
      <c r="DI121">
        <f>AD121</f>
        <v>250.43</v>
      </c>
      <c r="DJ121">
        <f>EtalonRes!AB109</f>
        <v>7.5</v>
      </c>
      <c r="DK121" t="e">
        <f>Source!BA68</f>
        <v>#REF!</v>
      </c>
      <c r="DL121" t="s">
        <v>6</v>
      </c>
      <c r="DM121">
        <v>0</v>
      </c>
      <c r="DN121" t="s">
        <v>6</v>
      </c>
      <c r="DO121">
        <v>0</v>
      </c>
      <c r="GQ121">
        <v>-1</v>
      </c>
      <c r="GR121">
        <v>-1</v>
      </c>
    </row>
    <row r="122" spans="1:200" x14ac:dyDescent="0.2">
      <c r="A122">
        <f>ROW(Source!A68)</f>
        <v>68</v>
      </c>
      <c r="B122">
        <v>67643165</v>
      </c>
      <c r="C122">
        <v>67643461</v>
      </c>
      <c r="D122">
        <v>49527498</v>
      </c>
      <c r="E122">
        <v>1</v>
      </c>
      <c r="F122">
        <v>1</v>
      </c>
      <c r="G122">
        <v>1</v>
      </c>
      <c r="H122">
        <v>3</v>
      </c>
      <c r="I122" t="s">
        <v>75</v>
      </c>
      <c r="J122" t="s">
        <v>77</v>
      </c>
      <c r="K122" t="s">
        <v>76</v>
      </c>
      <c r="L122">
        <v>1339</v>
      </c>
      <c r="N122">
        <v>1007</v>
      </c>
      <c r="O122" t="s">
        <v>33</v>
      </c>
      <c r="P122" t="s">
        <v>33</v>
      </c>
      <c r="Q122">
        <v>1</v>
      </c>
      <c r="W122">
        <v>0</v>
      </c>
      <c r="X122">
        <v>1448519192</v>
      </c>
      <c r="Y122">
        <f t="shared" si="41"/>
        <v>110</v>
      </c>
      <c r="AA122">
        <v>503.42</v>
      </c>
      <c r="AB122">
        <v>0</v>
      </c>
      <c r="AC122">
        <v>0</v>
      </c>
      <c r="AD122">
        <v>0</v>
      </c>
      <c r="AE122">
        <v>55.26</v>
      </c>
      <c r="AF122">
        <v>0</v>
      </c>
      <c r="AG122">
        <v>0</v>
      </c>
      <c r="AH122">
        <v>0</v>
      </c>
      <c r="AI122">
        <v>9.11</v>
      </c>
      <c r="AJ122">
        <v>1</v>
      </c>
      <c r="AK122">
        <v>1</v>
      </c>
      <c r="AL122">
        <v>1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 t="s">
        <v>6</v>
      </c>
      <c r="AT122">
        <v>110</v>
      </c>
      <c r="AU122" t="s">
        <v>6</v>
      </c>
      <c r="AV122">
        <v>0</v>
      </c>
      <c r="AW122">
        <v>1</v>
      </c>
      <c r="AX122">
        <v>-1</v>
      </c>
      <c r="AY122">
        <v>0</v>
      </c>
      <c r="AZ122">
        <v>0</v>
      </c>
      <c r="BA122" t="s">
        <v>6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V122">
        <v>0</v>
      </c>
      <c r="CW122">
        <v>0</v>
      </c>
      <c r="CX122">
        <f>ROUND(Y122*Source!I68,7)</f>
        <v>420.2</v>
      </c>
      <c r="CY122">
        <f>AA122</f>
        <v>503.42</v>
      </c>
      <c r="CZ122">
        <f>AE122</f>
        <v>55.26</v>
      </c>
      <c r="DA122">
        <f>AI122</f>
        <v>9.11</v>
      </c>
      <c r="DB122">
        <f t="shared" si="42"/>
        <v>6078.6</v>
      </c>
      <c r="DC122">
        <f t="shared" si="43"/>
        <v>0</v>
      </c>
      <c r="DD122" t="s">
        <v>6</v>
      </c>
      <c r="DE122" t="s">
        <v>6</v>
      </c>
      <c r="DF122">
        <f>ROUND(ROUND(AE122*AI122,2)*CX122,2)</f>
        <v>211537.08</v>
      </c>
      <c r="DG122">
        <f t="shared" si="38"/>
        <v>0</v>
      </c>
      <c r="DH122">
        <f>Source!I68*SmtRes!Y122</f>
        <v>420.2</v>
      </c>
      <c r="DI122">
        <f>AA122</f>
        <v>503.42</v>
      </c>
      <c r="DJ122">
        <f>DF122</f>
        <v>211537.08</v>
      </c>
      <c r="DK122">
        <f>Source!BC68</f>
        <v>9.11</v>
      </c>
      <c r="DL122" t="s">
        <v>6</v>
      </c>
      <c r="DM122">
        <v>0</v>
      </c>
      <c r="DN122" t="s">
        <v>6</v>
      </c>
      <c r="DO122">
        <v>0</v>
      </c>
      <c r="GP122">
        <v>1</v>
      </c>
      <c r="GQ122">
        <v>-1</v>
      </c>
      <c r="GR122">
        <v>-1</v>
      </c>
    </row>
    <row r="123" spans="1:200" x14ac:dyDescent="0.2">
      <c r="A123">
        <f>ROW(Source!A70)</f>
        <v>70</v>
      </c>
      <c r="B123">
        <v>67643165</v>
      </c>
      <c r="C123">
        <v>67643469</v>
      </c>
      <c r="D123">
        <v>49510905</v>
      </c>
      <c r="E123">
        <v>70</v>
      </c>
      <c r="F123">
        <v>1</v>
      </c>
      <c r="G123">
        <v>1</v>
      </c>
      <c r="H123">
        <v>1</v>
      </c>
      <c r="I123" t="s">
        <v>341</v>
      </c>
      <c r="J123" t="s">
        <v>6</v>
      </c>
      <c r="K123" t="s">
        <v>342</v>
      </c>
      <c r="L123">
        <v>1191</v>
      </c>
      <c r="N123">
        <v>1013</v>
      </c>
      <c r="O123" t="s">
        <v>340</v>
      </c>
      <c r="P123" t="s">
        <v>340</v>
      </c>
      <c r="Q123">
        <v>1</v>
      </c>
      <c r="W123">
        <v>0</v>
      </c>
      <c r="X123">
        <v>-1417349443</v>
      </c>
      <c r="Y123">
        <f t="shared" si="41"/>
        <v>8.06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33.39</v>
      </c>
      <c r="AL123">
        <v>1</v>
      </c>
      <c r="AM123">
        <v>4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6</v>
      </c>
      <c r="AT123">
        <v>8.06</v>
      </c>
      <c r="AU123" t="s">
        <v>6</v>
      </c>
      <c r="AV123">
        <v>2</v>
      </c>
      <c r="AW123">
        <v>2</v>
      </c>
      <c r="AX123">
        <v>67643472</v>
      </c>
      <c r="AY123">
        <v>1</v>
      </c>
      <c r="AZ123">
        <v>0</v>
      </c>
      <c r="BA123">
        <v>110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ROUND(Y123*Source!I70,7)</f>
        <v>12.146420000000001</v>
      </c>
      <c r="CY123">
        <f>AD123</f>
        <v>0</v>
      </c>
      <c r="CZ123">
        <f>AH123</f>
        <v>0</v>
      </c>
      <c r="DA123">
        <f>AL123</f>
        <v>1</v>
      </c>
      <c r="DB123">
        <f t="shared" si="42"/>
        <v>0</v>
      </c>
      <c r="DC123">
        <f t="shared" si="43"/>
        <v>0</v>
      </c>
      <c r="DD123" t="s">
        <v>6</v>
      </c>
      <c r="DE123" t="s">
        <v>6</v>
      </c>
      <c r="DF123">
        <f t="shared" ref="DF123:DF128" si="44">ROUND(ROUND(AE123,2)*CX123,2)</f>
        <v>0</v>
      </c>
      <c r="DG123">
        <f t="shared" si="38"/>
        <v>0</v>
      </c>
      <c r="DH123">
        <f>Source!I70*SmtRes!Y123</f>
        <v>12.146419999999999</v>
      </c>
      <c r="DI123">
        <f>AD123</f>
        <v>0</v>
      </c>
      <c r="DJ123">
        <f>EtalonRes!AB110</f>
        <v>0</v>
      </c>
      <c r="DK123">
        <f>Source!BA70</f>
        <v>33.39</v>
      </c>
      <c r="DL123" t="s">
        <v>6</v>
      </c>
      <c r="DM123">
        <v>0</v>
      </c>
      <c r="DN123" t="s">
        <v>6</v>
      </c>
      <c r="DO123">
        <v>0</v>
      </c>
      <c r="GQ123">
        <v>-1</v>
      </c>
      <c r="GR123">
        <v>-1</v>
      </c>
    </row>
    <row r="124" spans="1:200" x14ac:dyDescent="0.2">
      <c r="A124">
        <f>ROW(Source!A70)</f>
        <v>70</v>
      </c>
      <c r="B124">
        <v>67643165</v>
      </c>
      <c r="C124">
        <v>67643469</v>
      </c>
      <c r="D124">
        <v>49672021</v>
      </c>
      <c r="E124">
        <v>1</v>
      </c>
      <c r="F124">
        <v>1</v>
      </c>
      <c r="G124">
        <v>1</v>
      </c>
      <c r="H124">
        <v>2</v>
      </c>
      <c r="I124" t="s">
        <v>469</v>
      </c>
      <c r="J124" t="s">
        <v>470</v>
      </c>
      <c r="K124" t="s">
        <v>471</v>
      </c>
      <c r="L124">
        <v>1367</v>
      </c>
      <c r="N124">
        <v>1011</v>
      </c>
      <c r="O124" t="s">
        <v>346</v>
      </c>
      <c r="P124" t="s">
        <v>346</v>
      </c>
      <c r="Q124">
        <v>1</v>
      </c>
      <c r="W124">
        <v>0</v>
      </c>
      <c r="X124">
        <v>1462623597</v>
      </c>
      <c r="Y124">
        <f t="shared" si="41"/>
        <v>8.06</v>
      </c>
      <c r="AA124">
        <v>0</v>
      </c>
      <c r="AB124">
        <v>788.57</v>
      </c>
      <c r="AC124">
        <v>387.32</v>
      </c>
      <c r="AD124">
        <v>0</v>
      </c>
      <c r="AE124">
        <v>0</v>
      </c>
      <c r="AF124">
        <v>59.47</v>
      </c>
      <c r="AG124">
        <v>11.6</v>
      </c>
      <c r="AH124">
        <v>0</v>
      </c>
      <c r="AI124">
        <v>1</v>
      </c>
      <c r="AJ124">
        <v>13.26</v>
      </c>
      <c r="AK124">
        <v>33.39</v>
      </c>
      <c r="AL124">
        <v>1</v>
      </c>
      <c r="AM124">
        <v>4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6</v>
      </c>
      <c r="AT124">
        <v>8.06</v>
      </c>
      <c r="AU124" t="s">
        <v>6</v>
      </c>
      <c r="AV124">
        <v>0</v>
      </c>
      <c r="AW124">
        <v>2</v>
      </c>
      <c r="AX124">
        <v>67643473</v>
      </c>
      <c r="AY124">
        <v>1</v>
      </c>
      <c r="AZ124">
        <v>0</v>
      </c>
      <c r="BA124">
        <v>111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f>ROUND(Y124*Source!I70*DO124,7)</f>
        <v>0</v>
      </c>
      <c r="CX124">
        <f>ROUND(Y124*Source!I70,7)</f>
        <v>12.146420000000001</v>
      </c>
      <c r="CY124">
        <f>AB124</f>
        <v>788.57</v>
      </c>
      <c r="CZ124">
        <f>AF124</f>
        <v>59.47</v>
      </c>
      <c r="DA124">
        <f>AJ124</f>
        <v>13.26</v>
      </c>
      <c r="DB124">
        <f t="shared" si="42"/>
        <v>479.33</v>
      </c>
      <c r="DC124">
        <f t="shared" si="43"/>
        <v>93.5</v>
      </c>
      <c r="DD124" t="s">
        <v>6</v>
      </c>
      <c r="DE124" t="s">
        <v>6</v>
      </c>
      <c r="DF124">
        <f t="shared" si="44"/>
        <v>0</v>
      </c>
      <c r="DG124">
        <f>ROUND(ROUND(AF124*AJ124,2)*CX124,2)</f>
        <v>9578.2999999999993</v>
      </c>
      <c r="DH124">
        <f>Source!I70*SmtRes!Y124</f>
        <v>12.146419999999999</v>
      </c>
      <c r="DI124">
        <f>AB124</f>
        <v>788.57</v>
      </c>
      <c r="DJ124">
        <f>EtalonRes!Z111</f>
        <v>59.47</v>
      </c>
      <c r="DK124" t="e">
        <f>Source!BB70</f>
        <v>#REF!</v>
      </c>
      <c r="DL124" t="s">
        <v>6</v>
      </c>
      <c r="DM124">
        <v>0</v>
      </c>
      <c r="DN124" t="s">
        <v>6</v>
      </c>
      <c r="DO124">
        <v>0</v>
      </c>
      <c r="GQ124">
        <v>-1</v>
      </c>
      <c r="GR124">
        <v>-1</v>
      </c>
    </row>
    <row r="125" spans="1:200" x14ac:dyDescent="0.2">
      <c r="A125">
        <f>ROW(Source!A71)</f>
        <v>71</v>
      </c>
      <c r="B125">
        <v>67643165</v>
      </c>
      <c r="C125">
        <v>67643474</v>
      </c>
      <c r="D125">
        <v>49510715</v>
      </c>
      <c r="E125">
        <v>70</v>
      </c>
      <c r="F125">
        <v>1</v>
      </c>
      <c r="G125">
        <v>1</v>
      </c>
      <c r="H125">
        <v>1</v>
      </c>
      <c r="I125" t="s">
        <v>456</v>
      </c>
      <c r="J125" t="s">
        <v>6</v>
      </c>
      <c r="K125" t="s">
        <v>457</v>
      </c>
      <c r="L125">
        <v>1191</v>
      </c>
      <c r="N125">
        <v>1013</v>
      </c>
      <c r="O125" t="s">
        <v>340</v>
      </c>
      <c r="P125" t="s">
        <v>340</v>
      </c>
      <c r="Q125">
        <v>1</v>
      </c>
      <c r="W125">
        <v>0</v>
      </c>
      <c r="X125">
        <v>1049124552</v>
      </c>
      <c r="Y125">
        <f t="shared" si="41"/>
        <v>12.53</v>
      </c>
      <c r="AA125">
        <v>0</v>
      </c>
      <c r="AB125">
        <v>0</v>
      </c>
      <c r="AC125">
        <v>0</v>
      </c>
      <c r="AD125">
        <v>284.82</v>
      </c>
      <c r="AE125">
        <v>0</v>
      </c>
      <c r="AF125">
        <v>0</v>
      </c>
      <c r="AG125">
        <v>0</v>
      </c>
      <c r="AH125">
        <v>8.5299999999999994</v>
      </c>
      <c r="AI125">
        <v>1</v>
      </c>
      <c r="AJ125">
        <v>1</v>
      </c>
      <c r="AK125">
        <v>1</v>
      </c>
      <c r="AL125">
        <v>33.39</v>
      </c>
      <c r="AM125">
        <v>4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6</v>
      </c>
      <c r="AT125">
        <v>12.53</v>
      </c>
      <c r="AU125" t="s">
        <v>6</v>
      </c>
      <c r="AV125">
        <v>1</v>
      </c>
      <c r="AW125">
        <v>2</v>
      </c>
      <c r="AX125">
        <v>67643479</v>
      </c>
      <c r="AY125">
        <v>1</v>
      </c>
      <c r="AZ125">
        <v>0</v>
      </c>
      <c r="BA125">
        <v>112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U125">
        <f>ROUND(AT125*Source!I71*AH125*AL125,2)</f>
        <v>53781.11</v>
      </c>
      <c r="CV125">
        <f>ROUND(Y125*Source!I71,7)</f>
        <v>188.8271</v>
      </c>
      <c r="CW125">
        <v>0</v>
      </c>
      <c r="CX125">
        <f>ROUND(Y125*Source!I71,7)</f>
        <v>188.8271</v>
      </c>
      <c r="CY125">
        <f>AD125</f>
        <v>284.82</v>
      </c>
      <c r="CZ125">
        <f>AH125</f>
        <v>8.5299999999999994</v>
      </c>
      <c r="DA125">
        <f>AL125</f>
        <v>33.39</v>
      </c>
      <c r="DB125">
        <f t="shared" si="42"/>
        <v>106.88</v>
      </c>
      <c r="DC125">
        <f t="shared" si="43"/>
        <v>0</v>
      </c>
      <c r="DD125" t="s">
        <v>6</v>
      </c>
      <c r="DE125" t="s">
        <v>6</v>
      </c>
      <c r="DF125">
        <f t="shared" si="44"/>
        <v>0</v>
      </c>
      <c r="DG125">
        <f>ROUND(ROUND(AF125,2)*CX125,2)</f>
        <v>0</v>
      </c>
      <c r="DH125">
        <f>Source!I71*SmtRes!Y125</f>
        <v>188.8271</v>
      </c>
      <c r="DI125">
        <f>AD125</f>
        <v>284.82</v>
      </c>
      <c r="DJ125">
        <f>EtalonRes!AB112</f>
        <v>8.5299999999999994</v>
      </c>
      <c r="DK125" t="e">
        <f>Source!BA71</f>
        <v>#REF!</v>
      </c>
      <c r="DL125" t="s">
        <v>6</v>
      </c>
      <c r="DM125">
        <v>0</v>
      </c>
      <c r="DN125" t="s">
        <v>6</v>
      </c>
      <c r="DO125">
        <v>0</v>
      </c>
      <c r="GQ125">
        <v>-1</v>
      </c>
      <c r="GR125">
        <v>-1</v>
      </c>
    </row>
    <row r="126" spans="1:200" x14ac:dyDescent="0.2">
      <c r="A126">
        <f>ROW(Source!A71)</f>
        <v>71</v>
      </c>
      <c r="B126">
        <v>67643165</v>
      </c>
      <c r="C126">
        <v>67643474</v>
      </c>
      <c r="D126">
        <v>49510905</v>
      </c>
      <c r="E126">
        <v>70</v>
      </c>
      <c r="F126">
        <v>1</v>
      </c>
      <c r="G126">
        <v>1</v>
      </c>
      <c r="H126">
        <v>1</v>
      </c>
      <c r="I126" t="s">
        <v>341</v>
      </c>
      <c r="J126" t="s">
        <v>6</v>
      </c>
      <c r="K126" t="s">
        <v>342</v>
      </c>
      <c r="L126">
        <v>1191</v>
      </c>
      <c r="N126">
        <v>1013</v>
      </c>
      <c r="O126" t="s">
        <v>340</v>
      </c>
      <c r="P126" t="s">
        <v>340</v>
      </c>
      <c r="Q126">
        <v>1</v>
      </c>
      <c r="W126">
        <v>0</v>
      </c>
      <c r="X126">
        <v>-1417349443</v>
      </c>
      <c r="Y126">
        <f t="shared" si="41"/>
        <v>2.62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33.39</v>
      </c>
      <c r="AL126">
        <v>1</v>
      </c>
      <c r="AM126">
        <v>4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6</v>
      </c>
      <c r="AT126">
        <v>2.62</v>
      </c>
      <c r="AU126" t="s">
        <v>6</v>
      </c>
      <c r="AV126">
        <v>2</v>
      </c>
      <c r="AW126">
        <v>2</v>
      </c>
      <c r="AX126">
        <v>67643480</v>
      </c>
      <c r="AY126">
        <v>1</v>
      </c>
      <c r="AZ126">
        <v>0</v>
      </c>
      <c r="BA126">
        <v>113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ROUND(Y126*Source!I71,7)</f>
        <v>39.483400000000003</v>
      </c>
      <c r="CY126">
        <f>AD126</f>
        <v>0</v>
      </c>
      <c r="CZ126">
        <f>AH126</f>
        <v>0</v>
      </c>
      <c r="DA126">
        <f>AL126</f>
        <v>1</v>
      </c>
      <c r="DB126">
        <f t="shared" si="42"/>
        <v>0</v>
      </c>
      <c r="DC126">
        <f t="shared" si="43"/>
        <v>0</v>
      </c>
      <c r="DD126" t="s">
        <v>6</v>
      </c>
      <c r="DE126" t="s">
        <v>6</v>
      </c>
      <c r="DF126">
        <f t="shared" si="44"/>
        <v>0</v>
      </c>
      <c r="DG126">
        <f>ROUND(ROUND(AF126,2)*CX126,2)</f>
        <v>0</v>
      </c>
      <c r="DH126">
        <f>Source!I71*SmtRes!Y126</f>
        <v>39.483400000000003</v>
      </c>
      <c r="DI126">
        <f>AD126</f>
        <v>0</v>
      </c>
      <c r="DJ126">
        <f>EtalonRes!AB113</f>
        <v>0</v>
      </c>
      <c r="DK126" t="e">
        <f>Source!BA71</f>
        <v>#REF!</v>
      </c>
      <c r="DL126" t="s">
        <v>6</v>
      </c>
      <c r="DM126">
        <v>0</v>
      </c>
      <c r="DN126" t="s">
        <v>6</v>
      </c>
      <c r="DO126">
        <v>0</v>
      </c>
      <c r="GQ126">
        <v>-1</v>
      </c>
      <c r="GR126">
        <v>-1</v>
      </c>
    </row>
    <row r="127" spans="1:200" x14ac:dyDescent="0.2">
      <c r="A127">
        <f>ROW(Source!A71)</f>
        <v>71</v>
      </c>
      <c r="B127">
        <v>67643165</v>
      </c>
      <c r="C127">
        <v>67643474</v>
      </c>
      <c r="D127">
        <v>49673046</v>
      </c>
      <c r="E127">
        <v>1</v>
      </c>
      <c r="F127">
        <v>1</v>
      </c>
      <c r="G127">
        <v>1</v>
      </c>
      <c r="H127">
        <v>2</v>
      </c>
      <c r="I127" t="s">
        <v>472</v>
      </c>
      <c r="J127" t="s">
        <v>473</v>
      </c>
      <c r="K127" t="s">
        <v>474</v>
      </c>
      <c r="L127">
        <v>1367</v>
      </c>
      <c r="N127">
        <v>1011</v>
      </c>
      <c r="O127" t="s">
        <v>346</v>
      </c>
      <c r="P127" t="s">
        <v>346</v>
      </c>
      <c r="Q127">
        <v>1</v>
      </c>
      <c r="W127">
        <v>0</v>
      </c>
      <c r="X127">
        <v>-852670241</v>
      </c>
      <c r="Y127">
        <f t="shared" si="41"/>
        <v>10.5</v>
      </c>
      <c r="AA127">
        <v>0</v>
      </c>
      <c r="AB127">
        <v>7.29</v>
      </c>
      <c r="AC127">
        <v>0</v>
      </c>
      <c r="AD127">
        <v>0</v>
      </c>
      <c r="AE127">
        <v>0</v>
      </c>
      <c r="AF127">
        <v>0.55000000000000004</v>
      </c>
      <c r="AG127">
        <v>0</v>
      </c>
      <c r="AH127">
        <v>0</v>
      </c>
      <c r="AI127">
        <v>1</v>
      </c>
      <c r="AJ127">
        <v>13.26</v>
      </c>
      <c r="AK127">
        <v>33.39</v>
      </c>
      <c r="AL127">
        <v>1</v>
      </c>
      <c r="AM127">
        <v>4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6</v>
      </c>
      <c r="AT127">
        <v>10.5</v>
      </c>
      <c r="AU127" t="s">
        <v>6</v>
      </c>
      <c r="AV127">
        <v>0</v>
      </c>
      <c r="AW127">
        <v>2</v>
      </c>
      <c r="AX127">
        <v>67643481</v>
      </c>
      <c r="AY127">
        <v>1</v>
      </c>
      <c r="AZ127">
        <v>0</v>
      </c>
      <c r="BA127">
        <v>114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f>ROUND(Y127*Source!I71*DO127,7)</f>
        <v>0</v>
      </c>
      <c r="CX127">
        <f>ROUND(Y127*Source!I71,7)</f>
        <v>158.23500000000001</v>
      </c>
      <c r="CY127">
        <f>AB127</f>
        <v>7.29</v>
      </c>
      <c r="CZ127">
        <f>AF127</f>
        <v>0.55000000000000004</v>
      </c>
      <c r="DA127">
        <f>AJ127</f>
        <v>13.26</v>
      </c>
      <c r="DB127">
        <f t="shared" si="42"/>
        <v>5.78</v>
      </c>
      <c r="DC127">
        <f t="shared" si="43"/>
        <v>0</v>
      </c>
      <c r="DD127" t="s">
        <v>6</v>
      </c>
      <c r="DE127" t="s">
        <v>6</v>
      </c>
      <c r="DF127">
        <f t="shared" si="44"/>
        <v>0</v>
      </c>
      <c r="DG127">
        <f>ROUND(ROUND(AF127*AJ127,2)*CX127,2)</f>
        <v>1153.53</v>
      </c>
      <c r="DH127">
        <f>Source!I71*SmtRes!Y127</f>
        <v>158.23500000000001</v>
      </c>
      <c r="DI127">
        <f>AB127</f>
        <v>7.29</v>
      </c>
      <c r="DJ127">
        <f>EtalonRes!Z114</f>
        <v>0.55000000000000004</v>
      </c>
      <c r="DK127" t="e">
        <f>Source!BB71</f>
        <v>#REF!</v>
      </c>
      <c r="DL127" t="s">
        <v>6</v>
      </c>
      <c r="DM127">
        <v>0</v>
      </c>
      <c r="DN127" t="s">
        <v>6</v>
      </c>
      <c r="DO127">
        <v>0</v>
      </c>
      <c r="GQ127">
        <v>-1</v>
      </c>
      <c r="GR127">
        <v>-1</v>
      </c>
    </row>
    <row r="128" spans="1:200" x14ac:dyDescent="0.2">
      <c r="A128">
        <f>ROW(Source!A71)</f>
        <v>71</v>
      </c>
      <c r="B128">
        <v>67643165</v>
      </c>
      <c r="C128">
        <v>67643474</v>
      </c>
      <c r="D128">
        <v>49673729</v>
      </c>
      <c r="E128">
        <v>1</v>
      </c>
      <c r="F128">
        <v>1</v>
      </c>
      <c r="G128">
        <v>1</v>
      </c>
      <c r="H128">
        <v>2</v>
      </c>
      <c r="I128" t="s">
        <v>475</v>
      </c>
      <c r="J128" t="s">
        <v>476</v>
      </c>
      <c r="K128" t="s">
        <v>477</v>
      </c>
      <c r="L128">
        <v>1367</v>
      </c>
      <c r="N128">
        <v>1011</v>
      </c>
      <c r="O128" t="s">
        <v>346</v>
      </c>
      <c r="P128" t="s">
        <v>346</v>
      </c>
      <c r="Q128">
        <v>1</v>
      </c>
      <c r="W128">
        <v>0</v>
      </c>
      <c r="X128">
        <v>-1111507504</v>
      </c>
      <c r="Y128">
        <f t="shared" si="41"/>
        <v>2.62</v>
      </c>
      <c r="AA128">
        <v>0</v>
      </c>
      <c r="AB128">
        <v>1193.4000000000001</v>
      </c>
      <c r="AC128">
        <v>335.9</v>
      </c>
      <c r="AD128">
        <v>0</v>
      </c>
      <c r="AE128">
        <v>0</v>
      </c>
      <c r="AF128">
        <v>90</v>
      </c>
      <c r="AG128">
        <v>10.06</v>
      </c>
      <c r="AH128">
        <v>0</v>
      </c>
      <c r="AI128">
        <v>1</v>
      </c>
      <c r="AJ128">
        <v>13.26</v>
      </c>
      <c r="AK128">
        <v>33.39</v>
      </c>
      <c r="AL128">
        <v>1</v>
      </c>
      <c r="AM128">
        <v>4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6</v>
      </c>
      <c r="AT128">
        <v>2.62</v>
      </c>
      <c r="AU128" t="s">
        <v>6</v>
      </c>
      <c r="AV128">
        <v>0</v>
      </c>
      <c r="AW128">
        <v>2</v>
      </c>
      <c r="AX128">
        <v>67643482</v>
      </c>
      <c r="AY128">
        <v>1</v>
      </c>
      <c r="AZ128">
        <v>0</v>
      </c>
      <c r="BA128">
        <v>115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f>ROUND(Y128*Source!I71*DO128,7)</f>
        <v>0</v>
      </c>
      <c r="CX128">
        <f>ROUND(Y128*Source!I71,7)</f>
        <v>39.483400000000003</v>
      </c>
      <c r="CY128">
        <f>AB128</f>
        <v>1193.4000000000001</v>
      </c>
      <c r="CZ128">
        <f>AF128</f>
        <v>90</v>
      </c>
      <c r="DA128">
        <f>AJ128</f>
        <v>13.26</v>
      </c>
      <c r="DB128">
        <f t="shared" si="42"/>
        <v>235.8</v>
      </c>
      <c r="DC128">
        <f t="shared" si="43"/>
        <v>26.36</v>
      </c>
      <c r="DD128" t="s">
        <v>6</v>
      </c>
      <c r="DE128" t="s">
        <v>6</v>
      </c>
      <c r="DF128">
        <f t="shared" si="44"/>
        <v>0</v>
      </c>
      <c r="DG128">
        <f>ROUND(ROUND(AF128*AJ128,2)*CX128,2)</f>
        <v>47119.49</v>
      </c>
      <c r="DH128">
        <f>Source!I71*SmtRes!Y128</f>
        <v>39.483400000000003</v>
      </c>
      <c r="DI128">
        <f>AB128</f>
        <v>1193.4000000000001</v>
      </c>
      <c r="DJ128">
        <f>EtalonRes!Z115</f>
        <v>90</v>
      </c>
      <c r="DK128" t="e">
        <f>Source!BB71</f>
        <v>#REF!</v>
      </c>
      <c r="DL128" t="s">
        <v>6</v>
      </c>
      <c r="DM128">
        <v>0</v>
      </c>
      <c r="DN128" t="s">
        <v>6</v>
      </c>
      <c r="DO128">
        <v>0</v>
      </c>
      <c r="GQ128">
        <v>-1</v>
      </c>
      <c r="GR128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ROW(Source!A24)</f>
        <v>24</v>
      </c>
      <c r="B1">
        <v>67670745</v>
      </c>
      <c r="C1">
        <v>67670739</v>
      </c>
      <c r="D1">
        <v>31709613</v>
      </c>
      <c r="E1">
        <v>70</v>
      </c>
      <c r="F1">
        <v>1</v>
      </c>
      <c r="G1">
        <v>1</v>
      </c>
      <c r="H1">
        <v>1</v>
      </c>
      <c r="I1" t="s">
        <v>338</v>
      </c>
      <c r="J1" t="s">
        <v>6</v>
      </c>
      <c r="K1" t="s">
        <v>339</v>
      </c>
      <c r="L1">
        <v>1191</v>
      </c>
      <c r="N1">
        <v>1013</v>
      </c>
      <c r="O1" t="s">
        <v>340</v>
      </c>
      <c r="P1" t="s">
        <v>340</v>
      </c>
      <c r="Q1">
        <v>1</v>
      </c>
      <c r="X1">
        <v>9.84</v>
      </c>
      <c r="Y1">
        <v>0</v>
      </c>
      <c r="Z1">
        <v>0</v>
      </c>
      <c r="AA1">
        <v>0</v>
      </c>
      <c r="AB1">
        <v>7.8</v>
      </c>
      <c r="AC1">
        <v>0</v>
      </c>
      <c r="AD1">
        <v>1</v>
      </c>
      <c r="AE1">
        <v>1</v>
      </c>
      <c r="AF1" t="s">
        <v>22</v>
      </c>
      <c r="AG1">
        <v>10.824</v>
      </c>
      <c r="AH1">
        <v>2</v>
      </c>
      <c r="AI1">
        <v>67670740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ROW(Source!A24)</f>
        <v>24</v>
      </c>
      <c r="B2">
        <v>67670746</v>
      </c>
      <c r="C2">
        <v>67670739</v>
      </c>
      <c r="D2">
        <v>31709492</v>
      </c>
      <c r="E2">
        <v>70</v>
      </c>
      <c r="F2">
        <v>1</v>
      </c>
      <c r="G2">
        <v>1</v>
      </c>
      <c r="H2">
        <v>1</v>
      </c>
      <c r="I2" t="s">
        <v>341</v>
      </c>
      <c r="J2" t="s">
        <v>6</v>
      </c>
      <c r="K2" t="s">
        <v>342</v>
      </c>
      <c r="L2">
        <v>1191</v>
      </c>
      <c r="N2">
        <v>1013</v>
      </c>
      <c r="O2" t="s">
        <v>340</v>
      </c>
      <c r="P2" t="s">
        <v>340</v>
      </c>
      <c r="Q2">
        <v>1</v>
      </c>
      <c r="X2">
        <v>28.53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22</v>
      </c>
      <c r="AG2">
        <v>31.383000000000003</v>
      </c>
      <c r="AH2">
        <v>2</v>
      </c>
      <c r="AI2">
        <v>67670741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ROW(Source!A24)</f>
        <v>24</v>
      </c>
      <c r="B3">
        <v>67670747</v>
      </c>
      <c r="C3">
        <v>67670739</v>
      </c>
      <c r="D3">
        <v>49672022</v>
      </c>
      <c r="E3">
        <v>1</v>
      </c>
      <c r="F3">
        <v>1</v>
      </c>
      <c r="G3">
        <v>1</v>
      </c>
      <c r="H3">
        <v>2</v>
      </c>
      <c r="I3" t="s">
        <v>343</v>
      </c>
      <c r="J3" t="s">
        <v>344</v>
      </c>
      <c r="K3" t="s">
        <v>345</v>
      </c>
      <c r="L3">
        <v>1367</v>
      </c>
      <c r="N3">
        <v>1011</v>
      </c>
      <c r="O3" t="s">
        <v>346</v>
      </c>
      <c r="P3" t="s">
        <v>346</v>
      </c>
      <c r="Q3">
        <v>1</v>
      </c>
      <c r="X3">
        <v>7.13</v>
      </c>
      <c r="Y3">
        <v>0</v>
      </c>
      <c r="Z3">
        <v>79.069999999999993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22</v>
      </c>
      <c r="AG3">
        <v>7.8430000000000009</v>
      </c>
      <c r="AH3">
        <v>2</v>
      </c>
      <c r="AI3">
        <v>67670742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ROW(Source!A24)</f>
        <v>24</v>
      </c>
      <c r="B4">
        <v>67670748</v>
      </c>
      <c r="C4">
        <v>67670739</v>
      </c>
      <c r="D4">
        <v>49672087</v>
      </c>
      <c r="E4">
        <v>1</v>
      </c>
      <c r="F4">
        <v>1</v>
      </c>
      <c r="G4">
        <v>1</v>
      </c>
      <c r="H4">
        <v>2</v>
      </c>
      <c r="I4" t="s">
        <v>348</v>
      </c>
      <c r="J4" t="s">
        <v>349</v>
      </c>
      <c r="K4" t="s">
        <v>350</v>
      </c>
      <c r="L4">
        <v>1367</v>
      </c>
      <c r="N4">
        <v>1011</v>
      </c>
      <c r="O4" t="s">
        <v>346</v>
      </c>
      <c r="P4" t="s">
        <v>346</v>
      </c>
      <c r="Q4">
        <v>1</v>
      </c>
      <c r="X4">
        <v>21.4</v>
      </c>
      <c r="Y4">
        <v>0</v>
      </c>
      <c r="Z4">
        <v>115.27</v>
      </c>
      <c r="AA4">
        <v>13.5</v>
      </c>
      <c r="AB4">
        <v>0</v>
      </c>
      <c r="AC4">
        <v>0</v>
      </c>
      <c r="AD4">
        <v>1</v>
      </c>
      <c r="AE4">
        <v>0</v>
      </c>
      <c r="AF4" t="s">
        <v>22</v>
      </c>
      <c r="AG4">
        <v>23.54</v>
      </c>
      <c r="AH4">
        <v>2</v>
      </c>
      <c r="AI4">
        <v>67670743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ROW(Source!A24)</f>
        <v>24</v>
      </c>
      <c r="B5">
        <v>67670749</v>
      </c>
      <c r="C5">
        <v>67670739</v>
      </c>
      <c r="D5">
        <v>49527444</v>
      </c>
      <c r="E5">
        <v>1</v>
      </c>
      <c r="F5">
        <v>1</v>
      </c>
      <c r="G5">
        <v>1</v>
      </c>
      <c r="H5">
        <v>3</v>
      </c>
      <c r="I5" t="s">
        <v>31</v>
      </c>
      <c r="J5" t="s">
        <v>34</v>
      </c>
      <c r="K5" t="s">
        <v>32</v>
      </c>
      <c r="L5">
        <v>1339</v>
      </c>
      <c r="N5">
        <v>1007</v>
      </c>
      <c r="O5" t="s">
        <v>33</v>
      </c>
      <c r="P5" t="s">
        <v>33</v>
      </c>
      <c r="Q5">
        <v>1</v>
      </c>
      <c r="X5">
        <v>0.04</v>
      </c>
      <c r="Y5">
        <v>108.4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6</v>
      </c>
      <c r="AG5">
        <v>0.04</v>
      </c>
      <c r="AH5">
        <v>2</v>
      </c>
      <c r="AI5">
        <v>67670744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ROW(Source!A26)</f>
        <v>26</v>
      </c>
      <c r="B6">
        <v>67647373</v>
      </c>
      <c r="C6">
        <v>67643230</v>
      </c>
      <c r="D6">
        <v>49510681</v>
      </c>
      <c r="E6">
        <v>70</v>
      </c>
      <c r="F6">
        <v>1</v>
      </c>
      <c r="G6">
        <v>1</v>
      </c>
      <c r="H6">
        <v>1</v>
      </c>
      <c r="I6" t="s">
        <v>338</v>
      </c>
      <c r="J6" t="s">
        <v>6</v>
      </c>
      <c r="K6" t="s">
        <v>339</v>
      </c>
      <c r="L6">
        <v>1191</v>
      </c>
      <c r="N6">
        <v>1013</v>
      </c>
      <c r="O6" t="s">
        <v>340</v>
      </c>
      <c r="P6" t="s">
        <v>340</v>
      </c>
      <c r="Q6">
        <v>1</v>
      </c>
      <c r="X6">
        <v>9.84</v>
      </c>
      <c r="Y6">
        <v>0</v>
      </c>
      <c r="Z6">
        <v>0</v>
      </c>
      <c r="AA6">
        <v>0</v>
      </c>
      <c r="AB6">
        <v>7.8</v>
      </c>
      <c r="AC6">
        <v>0</v>
      </c>
      <c r="AD6">
        <v>1</v>
      </c>
      <c r="AE6">
        <v>1</v>
      </c>
      <c r="AF6" t="s">
        <v>6</v>
      </c>
      <c r="AG6">
        <v>9.84</v>
      </c>
      <c r="AH6">
        <v>2</v>
      </c>
      <c r="AI6">
        <v>67647373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ROW(Source!A26)</f>
        <v>26</v>
      </c>
      <c r="B7">
        <v>67647374</v>
      </c>
      <c r="C7">
        <v>67643230</v>
      </c>
      <c r="D7">
        <v>49510905</v>
      </c>
      <c r="E7">
        <v>70</v>
      </c>
      <c r="F7">
        <v>1</v>
      </c>
      <c r="G7">
        <v>1</v>
      </c>
      <c r="H7">
        <v>1</v>
      </c>
      <c r="I7" t="s">
        <v>341</v>
      </c>
      <c r="J7" t="s">
        <v>6</v>
      </c>
      <c r="K7" t="s">
        <v>342</v>
      </c>
      <c r="L7">
        <v>1191</v>
      </c>
      <c r="N7">
        <v>1013</v>
      </c>
      <c r="O7" t="s">
        <v>340</v>
      </c>
      <c r="P7" t="s">
        <v>340</v>
      </c>
      <c r="Q7">
        <v>1</v>
      </c>
      <c r="X7">
        <v>28.53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6</v>
      </c>
      <c r="AG7">
        <v>28.53</v>
      </c>
      <c r="AH7">
        <v>2</v>
      </c>
      <c r="AI7">
        <v>67647374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ROW(Source!A26)</f>
        <v>26</v>
      </c>
      <c r="B8">
        <v>67647375</v>
      </c>
      <c r="C8">
        <v>67643230</v>
      </c>
      <c r="D8">
        <v>49672022</v>
      </c>
      <c r="E8">
        <v>1</v>
      </c>
      <c r="F8">
        <v>1</v>
      </c>
      <c r="G8">
        <v>1</v>
      </c>
      <c r="H8">
        <v>2</v>
      </c>
      <c r="I8" t="s">
        <v>343</v>
      </c>
      <c r="J8" t="s">
        <v>344</v>
      </c>
      <c r="K8" t="s">
        <v>345</v>
      </c>
      <c r="L8">
        <v>1367</v>
      </c>
      <c r="N8">
        <v>1011</v>
      </c>
      <c r="O8" t="s">
        <v>346</v>
      </c>
      <c r="P8" t="s">
        <v>346</v>
      </c>
      <c r="Q8">
        <v>1</v>
      </c>
      <c r="X8">
        <v>7.13</v>
      </c>
      <c r="Y8">
        <v>0</v>
      </c>
      <c r="Z8">
        <v>79.069999999999993</v>
      </c>
      <c r="AA8">
        <v>13.5</v>
      </c>
      <c r="AB8">
        <v>0</v>
      </c>
      <c r="AC8">
        <v>0</v>
      </c>
      <c r="AD8">
        <v>1</v>
      </c>
      <c r="AE8">
        <v>0</v>
      </c>
      <c r="AF8" t="s">
        <v>6</v>
      </c>
      <c r="AG8">
        <v>7.13</v>
      </c>
      <c r="AH8">
        <v>2</v>
      </c>
      <c r="AI8">
        <v>67647375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ROW(Source!A26)</f>
        <v>26</v>
      </c>
      <c r="B9">
        <v>67647376</v>
      </c>
      <c r="C9">
        <v>67643230</v>
      </c>
      <c r="D9">
        <v>49672087</v>
      </c>
      <c r="E9">
        <v>1</v>
      </c>
      <c r="F9">
        <v>1</v>
      </c>
      <c r="G9">
        <v>1</v>
      </c>
      <c r="H9">
        <v>2</v>
      </c>
      <c r="I9" t="s">
        <v>348</v>
      </c>
      <c r="J9" t="s">
        <v>349</v>
      </c>
      <c r="K9" t="s">
        <v>350</v>
      </c>
      <c r="L9">
        <v>1367</v>
      </c>
      <c r="N9">
        <v>1011</v>
      </c>
      <c r="O9" t="s">
        <v>346</v>
      </c>
      <c r="P9" t="s">
        <v>346</v>
      </c>
      <c r="Q9">
        <v>1</v>
      </c>
      <c r="X9">
        <v>21.4</v>
      </c>
      <c r="Y9">
        <v>0</v>
      </c>
      <c r="Z9">
        <v>115.27</v>
      </c>
      <c r="AA9">
        <v>13.5</v>
      </c>
      <c r="AB9">
        <v>0</v>
      </c>
      <c r="AC9">
        <v>0</v>
      </c>
      <c r="AD9">
        <v>1</v>
      </c>
      <c r="AE9">
        <v>0</v>
      </c>
      <c r="AF9" t="s">
        <v>6</v>
      </c>
      <c r="AG9">
        <v>21.4</v>
      </c>
      <c r="AH9">
        <v>2</v>
      </c>
      <c r="AI9">
        <v>67647376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ROW(Source!A26)</f>
        <v>26</v>
      </c>
      <c r="B10">
        <v>67647377</v>
      </c>
      <c r="C10">
        <v>67643230</v>
      </c>
      <c r="D10">
        <v>49527444</v>
      </c>
      <c r="E10">
        <v>1</v>
      </c>
      <c r="F10">
        <v>1</v>
      </c>
      <c r="G10">
        <v>1</v>
      </c>
      <c r="H10">
        <v>3</v>
      </c>
      <c r="I10" t="s">
        <v>31</v>
      </c>
      <c r="J10" t="s">
        <v>34</v>
      </c>
      <c r="K10" t="s">
        <v>32</v>
      </c>
      <c r="L10">
        <v>1339</v>
      </c>
      <c r="N10">
        <v>1007</v>
      </c>
      <c r="O10" t="s">
        <v>33</v>
      </c>
      <c r="P10" t="s">
        <v>33</v>
      </c>
      <c r="Q10">
        <v>1</v>
      </c>
      <c r="X10">
        <v>0.04</v>
      </c>
      <c r="Y10">
        <v>108.4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6</v>
      </c>
      <c r="AG10">
        <v>0.04</v>
      </c>
      <c r="AH10">
        <v>2</v>
      </c>
      <c r="AI10">
        <v>67647377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ROW(Source!A29)</f>
        <v>29</v>
      </c>
      <c r="B11">
        <v>67647378</v>
      </c>
      <c r="C11">
        <v>67643242</v>
      </c>
      <c r="D11">
        <v>49510681</v>
      </c>
      <c r="E11">
        <v>70</v>
      </c>
      <c r="F11">
        <v>1</v>
      </c>
      <c r="G11">
        <v>1</v>
      </c>
      <c r="H11">
        <v>1</v>
      </c>
      <c r="I11" t="s">
        <v>338</v>
      </c>
      <c r="J11" t="s">
        <v>6</v>
      </c>
      <c r="K11" t="s">
        <v>339</v>
      </c>
      <c r="L11">
        <v>1191</v>
      </c>
      <c r="N11">
        <v>1013</v>
      </c>
      <c r="O11" t="s">
        <v>340</v>
      </c>
      <c r="P11" t="s">
        <v>340</v>
      </c>
      <c r="Q11">
        <v>1</v>
      </c>
      <c r="X11">
        <v>3.32</v>
      </c>
      <c r="Y11">
        <v>0</v>
      </c>
      <c r="Z11">
        <v>0</v>
      </c>
      <c r="AA11">
        <v>0</v>
      </c>
      <c r="AB11">
        <v>7.8</v>
      </c>
      <c r="AC11">
        <v>0</v>
      </c>
      <c r="AD11">
        <v>1</v>
      </c>
      <c r="AE11">
        <v>1</v>
      </c>
      <c r="AF11" t="s">
        <v>6</v>
      </c>
      <c r="AG11">
        <v>3.32</v>
      </c>
      <c r="AH11">
        <v>2</v>
      </c>
      <c r="AI11">
        <v>67647378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ROW(Source!A29)</f>
        <v>29</v>
      </c>
      <c r="B12">
        <v>67647379</v>
      </c>
      <c r="C12">
        <v>67643242</v>
      </c>
      <c r="D12">
        <v>49510905</v>
      </c>
      <c r="E12">
        <v>70</v>
      </c>
      <c r="F12">
        <v>1</v>
      </c>
      <c r="G12">
        <v>1</v>
      </c>
      <c r="H12">
        <v>1</v>
      </c>
      <c r="I12" t="s">
        <v>341</v>
      </c>
      <c r="J12" t="s">
        <v>6</v>
      </c>
      <c r="K12" t="s">
        <v>342</v>
      </c>
      <c r="L12">
        <v>1191</v>
      </c>
      <c r="N12">
        <v>1013</v>
      </c>
      <c r="O12" t="s">
        <v>340</v>
      </c>
      <c r="P12" t="s">
        <v>340</v>
      </c>
      <c r="Q12">
        <v>1</v>
      </c>
      <c r="X12">
        <v>3.69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6</v>
      </c>
      <c r="AG12">
        <v>3.69</v>
      </c>
      <c r="AH12">
        <v>2</v>
      </c>
      <c r="AI12">
        <v>67647379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ROW(Source!A29)</f>
        <v>29</v>
      </c>
      <c r="B13">
        <v>67647380</v>
      </c>
      <c r="C13">
        <v>67643242</v>
      </c>
      <c r="D13">
        <v>49672022</v>
      </c>
      <c r="E13">
        <v>1</v>
      </c>
      <c r="F13">
        <v>1</v>
      </c>
      <c r="G13">
        <v>1</v>
      </c>
      <c r="H13">
        <v>2</v>
      </c>
      <c r="I13" t="s">
        <v>343</v>
      </c>
      <c r="J13" t="s">
        <v>344</v>
      </c>
      <c r="K13" t="s">
        <v>345</v>
      </c>
      <c r="L13">
        <v>1367</v>
      </c>
      <c r="N13">
        <v>1011</v>
      </c>
      <c r="O13" t="s">
        <v>346</v>
      </c>
      <c r="P13" t="s">
        <v>346</v>
      </c>
      <c r="Q13">
        <v>1</v>
      </c>
      <c r="X13">
        <v>3.61</v>
      </c>
      <c r="Y13">
        <v>0</v>
      </c>
      <c r="Z13">
        <v>79.069999999999993</v>
      </c>
      <c r="AA13">
        <v>13.5</v>
      </c>
      <c r="AB13">
        <v>0</v>
      </c>
      <c r="AC13">
        <v>0</v>
      </c>
      <c r="AD13">
        <v>1</v>
      </c>
      <c r="AE13">
        <v>0</v>
      </c>
      <c r="AF13" t="s">
        <v>6</v>
      </c>
      <c r="AG13">
        <v>3.61</v>
      </c>
      <c r="AH13">
        <v>2</v>
      </c>
      <c r="AI13">
        <v>67647380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ROW(Source!A29)</f>
        <v>29</v>
      </c>
      <c r="B14">
        <v>67647381</v>
      </c>
      <c r="C14">
        <v>67643242</v>
      </c>
      <c r="D14">
        <v>49673509</v>
      </c>
      <c r="E14">
        <v>1</v>
      </c>
      <c r="F14">
        <v>1</v>
      </c>
      <c r="G14">
        <v>1</v>
      </c>
      <c r="H14">
        <v>2</v>
      </c>
      <c r="I14" t="s">
        <v>351</v>
      </c>
      <c r="J14" t="s">
        <v>352</v>
      </c>
      <c r="K14" t="s">
        <v>353</v>
      </c>
      <c r="L14">
        <v>1367</v>
      </c>
      <c r="N14">
        <v>1011</v>
      </c>
      <c r="O14" t="s">
        <v>346</v>
      </c>
      <c r="P14" t="s">
        <v>346</v>
      </c>
      <c r="Q14">
        <v>1</v>
      </c>
      <c r="X14">
        <v>0.08</v>
      </c>
      <c r="Y14">
        <v>0</v>
      </c>
      <c r="Z14">
        <v>89.54</v>
      </c>
      <c r="AA14">
        <v>11.6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0.08</v>
      </c>
      <c r="AH14">
        <v>2</v>
      </c>
      <c r="AI14">
        <v>67647381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ROW(Source!A29)</f>
        <v>29</v>
      </c>
      <c r="B15">
        <v>67647382</v>
      </c>
      <c r="C15">
        <v>67643242</v>
      </c>
      <c r="D15">
        <v>49527444</v>
      </c>
      <c r="E15">
        <v>1</v>
      </c>
      <c r="F15">
        <v>1</v>
      </c>
      <c r="G15">
        <v>1</v>
      </c>
      <c r="H15">
        <v>3</v>
      </c>
      <c r="I15" t="s">
        <v>31</v>
      </c>
      <c r="J15" t="s">
        <v>34</v>
      </c>
      <c r="K15" t="s">
        <v>32</v>
      </c>
      <c r="L15">
        <v>1339</v>
      </c>
      <c r="N15">
        <v>1007</v>
      </c>
      <c r="O15" t="s">
        <v>33</v>
      </c>
      <c r="P15" t="s">
        <v>33</v>
      </c>
      <c r="Q15">
        <v>1</v>
      </c>
      <c r="X15">
        <v>0.04</v>
      </c>
      <c r="Y15">
        <v>108.4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6</v>
      </c>
      <c r="AG15">
        <v>0.04</v>
      </c>
      <c r="AH15">
        <v>2</v>
      </c>
      <c r="AI15">
        <v>67647382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67647385</v>
      </c>
      <c r="C16">
        <v>67643258</v>
      </c>
      <c r="D16">
        <v>49510681</v>
      </c>
      <c r="E16">
        <v>70</v>
      </c>
      <c r="F16">
        <v>1</v>
      </c>
      <c r="G16">
        <v>1</v>
      </c>
      <c r="H16">
        <v>1</v>
      </c>
      <c r="I16" t="s">
        <v>338</v>
      </c>
      <c r="J16" t="s">
        <v>6</v>
      </c>
      <c r="K16" t="s">
        <v>339</v>
      </c>
      <c r="L16">
        <v>1191</v>
      </c>
      <c r="N16">
        <v>1013</v>
      </c>
      <c r="O16" t="s">
        <v>340</v>
      </c>
      <c r="P16" t="s">
        <v>340</v>
      </c>
      <c r="Q16">
        <v>1</v>
      </c>
      <c r="X16">
        <v>154</v>
      </c>
      <c r="Y16">
        <v>0</v>
      </c>
      <c r="Z16">
        <v>0</v>
      </c>
      <c r="AA16">
        <v>0</v>
      </c>
      <c r="AB16">
        <v>7.8</v>
      </c>
      <c r="AC16">
        <v>0</v>
      </c>
      <c r="AD16">
        <v>1</v>
      </c>
      <c r="AE16">
        <v>1</v>
      </c>
      <c r="AF16" t="s">
        <v>60</v>
      </c>
      <c r="AG16">
        <v>212.51999999999995</v>
      </c>
      <c r="AH16">
        <v>2</v>
      </c>
      <c r="AI16">
        <v>67647385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ROW(Source!A32)</f>
        <v>32</v>
      </c>
      <c r="B17">
        <v>67654328</v>
      </c>
      <c r="C17">
        <v>67643261</v>
      </c>
      <c r="D17">
        <v>49510697</v>
      </c>
      <c r="E17">
        <v>70</v>
      </c>
      <c r="F17">
        <v>1</v>
      </c>
      <c r="G17">
        <v>1</v>
      </c>
      <c r="H17">
        <v>1</v>
      </c>
      <c r="I17" t="s">
        <v>354</v>
      </c>
      <c r="J17" t="s">
        <v>6</v>
      </c>
      <c r="K17" t="s">
        <v>355</v>
      </c>
      <c r="L17">
        <v>1191</v>
      </c>
      <c r="N17">
        <v>1013</v>
      </c>
      <c r="O17" t="s">
        <v>340</v>
      </c>
      <c r="P17" t="s">
        <v>340</v>
      </c>
      <c r="Q17">
        <v>1</v>
      </c>
      <c r="X17">
        <v>10.199999999999999</v>
      </c>
      <c r="Y17">
        <v>0</v>
      </c>
      <c r="Z17">
        <v>0</v>
      </c>
      <c r="AA17">
        <v>0</v>
      </c>
      <c r="AB17">
        <v>8.17</v>
      </c>
      <c r="AC17">
        <v>0</v>
      </c>
      <c r="AD17">
        <v>1</v>
      </c>
      <c r="AE17">
        <v>1</v>
      </c>
      <c r="AF17" t="s">
        <v>6</v>
      </c>
      <c r="AG17">
        <v>10.199999999999999</v>
      </c>
      <c r="AH17">
        <v>2</v>
      </c>
      <c r="AI17">
        <v>67654328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67654329</v>
      </c>
      <c r="C18">
        <v>67643261</v>
      </c>
      <c r="D18">
        <v>49510905</v>
      </c>
      <c r="E18">
        <v>70</v>
      </c>
      <c r="F18">
        <v>1</v>
      </c>
      <c r="G18">
        <v>1</v>
      </c>
      <c r="H18">
        <v>1</v>
      </c>
      <c r="I18" t="s">
        <v>341</v>
      </c>
      <c r="J18" t="s">
        <v>6</v>
      </c>
      <c r="K18" t="s">
        <v>342</v>
      </c>
      <c r="L18">
        <v>1191</v>
      </c>
      <c r="N18">
        <v>1013</v>
      </c>
      <c r="O18" t="s">
        <v>340</v>
      </c>
      <c r="P18" t="s">
        <v>340</v>
      </c>
      <c r="Q18">
        <v>1</v>
      </c>
      <c r="X18">
        <v>0.32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6</v>
      </c>
      <c r="AG18">
        <v>0.32</v>
      </c>
      <c r="AH18">
        <v>2</v>
      </c>
      <c r="AI18">
        <v>67654329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67654330</v>
      </c>
      <c r="C19">
        <v>67643261</v>
      </c>
      <c r="D19">
        <v>49672727</v>
      </c>
      <c r="E19">
        <v>1</v>
      </c>
      <c r="F19">
        <v>1</v>
      </c>
      <c r="G19">
        <v>1</v>
      </c>
      <c r="H19">
        <v>2</v>
      </c>
      <c r="I19" t="s">
        <v>356</v>
      </c>
      <c r="J19" t="s">
        <v>357</v>
      </c>
      <c r="K19" t="s">
        <v>358</v>
      </c>
      <c r="L19">
        <v>1367</v>
      </c>
      <c r="N19">
        <v>1011</v>
      </c>
      <c r="O19" t="s">
        <v>346</v>
      </c>
      <c r="P19" t="s">
        <v>346</v>
      </c>
      <c r="Q19">
        <v>1</v>
      </c>
      <c r="X19">
        <v>0.32</v>
      </c>
      <c r="Y19">
        <v>0</v>
      </c>
      <c r="Z19">
        <v>89.99</v>
      </c>
      <c r="AA19">
        <v>10.06</v>
      </c>
      <c r="AB19">
        <v>0</v>
      </c>
      <c r="AC19">
        <v>0</v>
      </c>
      <c r="AD19">
        <v>1</v>
      </c>
      <c r="AE19">
        <v>0</v>
      </c>
      <c r="AF19" t="s">
        <v>6</v>
      </c>
      <c r="AG19">
        <v>0.32</v>
      </c>
      <c r="AH19">
        <v>2</v>
      </c>
      <c r="AI19">
        <v>67654330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67654331</v>
      </c>
      <c r="C20">
        <v>67643261</v>
      </c>
      <c r="D20">
        <v>49511623</v>
      </c>
      <c r="E20">
        <v>70</v>
      </c>
      <c r="F20">
        <v>1</v>
      </c>
      <c r="G20">
        <v>1</v>
      </c>
      <c r="H20">
        <v>3</v>
      </c>
      <c r="I20" t="s">
        <v>478</v>
      </c>
      <c r="J20" t="s">
        <v>6</v>
      </c>
      <c r="K20" t="s">
        <v>479</v>
      </c>
      <c r="L20">
        <v>1339</v>
      </c>
      <c r="N20">
        <v>1007</v>
      </c>
      <c r="O20" t="s">
        <v>33</v>
      </c>
      <c r="P20" t="s">
        <v>33</v>
      </c>
      <c r="Q20">
        <v>1</v>
      </c>
      <c r="X20">
        <v>11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6</v>
      </c>
      <c r="AG20">
        <v>11</v>
      </c>
      <c r="AH20">
        <v>3</v>
      </c>
      <c r="AI20">
        <v>-1</v>
      </c>
      <c r="AJ20" t="s">
        <v>6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67654333</v>
      </c>
      <c r="C21">
        <v>67643286</v>
      </c>
      <c r="D21">
        <v>49510737</v>
      </c>
      <c r="E21">
        <v>70</v>
      </c>
      <c r="F21">
        <v>1</v>
      </c>
      <c r="G21">
        <v>1</v>
      </c>
      <c r="H21">
        <v>1</v>
      </c>
      <c r="I21" t="s">
        <v>359</v>
      </c>
      <c r="J21" t="s">
        <v>6</v>
      </c>
      <c r="K21" t="s">
        <v>360</v>
      </c>
      <c r="L21">
        <v>1191</v>
      </c>
      <c r="N21">
        <v>1013</v>
      </c>
      <c r="O21" t="s">
        <v>340</v>
      </c>
      <c r="P21" t="s">
        <v>340</v>
      </c>
      <c r="Q21">
        <v>1</v>
      </c>
      <c r="X21">
        <v>29.68</v>
      </c>
      <c r="Y21">
        <v>0</v>
      </c>
      <c r="Z21">
        <v>0</v>
      </c>
      <c r="AA21">
        <v>0</v>
      </c>
      <c r="AB21">
        <v>9.18</v>
      </c>
      <c r="AC21">
        <v>0</v>
      </c>
      <c r="AD21">
        <v>1</v>
      </c>
      <c r="AE21">
        <v>1</v>
      </c>
      <c r="AF21" t="s">
        <v>6</v>
      </c>
      <c r="AG21">
        <v>29.68</v>
      </c>
      <c r="AH21">
        <v>2</v>
      </c>
      <c r="AI21">
        <v>67654333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ROW(Source!A34)</f>
        <v>34</v>
      </c>
      <c r="B22">
        <v>67654334</v>
      </c>
      <c r="C22">
        <v>67643286</v>
      </c>
      <c r="D22">
        <v>49510905</v>
      </c>
      <c r="E22">
        <v>70</v>
      </c>
      <c r="F22">
        <v>1</v>
      </c>
      <c r="G22">
        <v>1</v>
      </c>
      <c r="H22">
        <v>1</v>
      </c>
      <c r="I22" t="s">
        <v>341</v>
      </c>
      <c r="J22" t="s">
        <v>6</v>
      </c>
      <c r="K22" t="s">
        <v>342</v>
      </c>
      <c r="L22">
        <v>1191</v>
      </c>
      <c r="N22">
        <v>1013</v>
      </c>
      <c r="O22" t="s">
        <v>340</v>
      </c>
      <c r="P22" t="s">
        <v>340</v>
      </c>
      <c r="Q22">
        <v>1</v>
      </c>
      <c r="X22">
        <v>4.62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6</v>
      </c>
      <c r="AG22">
        <v>4.62</v>
      </c>
      <c r="AH22">
        <v>2</v>
      </c>
      <c r="AI22">
        <v>67654334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ROW(Source!A34)</f>
        <v>34</v>
      </c>
      <c r="B23">
        <v>67654335</v>
      </c>
      <c r="C23">
        <v>67643286</v>
      </c>
      <c r="D23">
        <v>49672573</v>
      </c>
      <c r="E23">
        <v>1</v>
      </c>
      <c r="F23">
        <v>1</v>
      </c>
      <c r="G23">
        <v>1</v>
      </c>
      <c r="H23">
        <v>2</v>
      </c>
      <c r="I23" t="s">
        <v>361</v>
      </c>
      <c r="J23" t="s">
        <v>362</v>
      </c>
      <c r="K23" t="s">
        <v>363</v>
      </c>
      <c r="L23">
        <v>1367</v>
      </c>
      <c r="N23">
        <v>1011</v>
      </c>
      <c r="O23" t="s">
        <v>346</v>
      </c>
      <c r="P23" t="s">
        <v>346</v>
      </c>
      <c r="Q23">
        <v>1</v>
      </c>
      <c r="X23">
        <v>4.41</v>
      </c>
      <c r="Y23">
        <v>0</v>
      </c>
      <c r="Z23">
        <v>115.4</v>
      </c>
      <c r="AA23">
        <v>13.5</v>
      </c>
      <c r="AB23">
        <v>0</v>
      </c>
      <c r="AC23">
        <v>0</v>
      </c>
      <c r="AD23">
        <v>1</v>
      </c>
      <c r="AE23">
        <v>0</v>
      </c>
      <c r="AF23" t="s">
        <v>6</v>
      </c>
      <c r="AG23">
        <v>4.41</v>
      </c>
      <c r="AH23">
        <v>2</v>
      </c>
      <c r="AI23">
        <v>67654335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ROW(Source!A34)</f>
        <v>34</v>
      </c>
      <c r="B24">
        <v>67654336</v>
      </c>
      <c r="C24">
        <v>67643286</v>
      </c>
      <c r="D24">
        <v>49673503</v>
      </c>
      <c r="E24">
        <v>1</v>
      </c>
      <c r="F24">
        <v>1</v>
      </c>
      <c r="G24">
        <v>1</v>
      </c>
      <c r="H24">
        <v>2</v>
      </c>
      <c r="I24" t="s">
        <v>364</v>
      </c>
      <c r="J24" t="s">
        <v>365</v>
      </c>
      <c r="K24" t="s">
        <v>366</v>
      </c>
      <c r="L24">
        <v>1367</v>
      </c>
      <c r="N24">
        <v>1011</v>
      </c>
      <c r="O24" t="s">
        <v>346</v>
      </c>
      <c r="P24" t="s">
        <v>346</v>
      </c>
      <c r="Q24">
        <v>1</v>
      </c>
      <c r="X24">
        <v>0.21</v>
      </c>
      <c r="Y24">
        <v>0</v>
      </c>
      <c r="Z24">
        <v>65.709999999999994</v>
      </c>
      <c r="AA24">
        <v>11.6</v>
      </c>
      <c r="AB24">
        <v>0</v>
      </c>
      <c r="AC24">
        <v>0</v>
      </c>
      <c r="AD24">
        <v>1</v>
      </c>
      <c r="AE24">
        <v>0</v>
      </c>
      <c r="AF24" t="s">
        <v>6</v>
      </c>
      <c r="AG24">
        <v>0.21</v>
      </c>
      <c r="AH24">
        <v>2</v>
      </c>
      <c r="AI24">
        <v>67654336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ROW(Source!A34)</f>
        <v>34</v>
      </c>
      <c r="B25">
        <v>67654337</v>
      </c>
      <c r="C25">
        <v>67643286</v>
      </c>
      <c r="D25">
        <v>49523203</v>
      </c>
      <c r="E25">
        <v>1</v>
      </c>
      <c r="F25">
        <v>1</v>
      </c>
      <c r="G25">
        <v>1</v>
      </c>
      <c r="H25">
        <v>3</v>
      </c>
      <c r="I25" t="s">
        <v>367</v>
      </c>
      <c r="J25" t="s">
        <v>368</v>
      </c>
      <c r="K25" t="s">
        <v>369</v>
      </c>
      <c r="L25">
        <v>1339</v>
      </c>
      <c r="N25">
        <v>1007</v>
      </c>
      <c r="O25" t="s">
        <v>33</v>
      </c>
      <c r="P25" t="s">
        <v>33</v>
      </c>
      <c r="Q25">
        <v>1</v>
      </c>
      <c r="X25">
        <v>7.8</v>
      </c>
      <c r="Y25">
        <v>2.44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6</v>
      </c>
      <c r="AG25">
        <v>7.8</v>
      </c>
      <c r="AH25">
        <v>2</v>
      </c>
      <c r="AI25">
        <v>67654337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ROW(Source!A34)</f>
        <v>34</v>
      </c>
      <c r="B26">
        <v>67654338</v>
      </c>
      <c r="C26">
        <v>67643286</v>
      </c>
      <c r="D26">
        <v>49515340</v>
      </c>
      <c r="E26">
        <v>70</v>
      </c>
      <c r="F26">
        <v>1</v>
      </c>
      <c r="G26">
        <v>1</v>
      </c>
      <c r="H26">
        <v>3</v>
      </c>
      <c r="I26" t="s">
        <v>480</v>
      </c>
      <c r="J26" t="s">
        <v>6</v>
      </c>
      <c r="K26" t="s">
        <v>481</v>
      </c>
      <c r="L26">
        <v>1301</v>
      </c>
      <c r="N26">
        <v>1003</v>
      </c>
      <c r="O26" t="s">
        <v>86</v>
      </c>
      <c r="P26" t="s">
        <v>86</v>
      </c>
      <c r="Q26">
        <v>1</v>
      </c>
      <c r="X26">
        <v>100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 t="s">
        <v>6</v>
      </c>
      <c r="AG26">
        <v>100</v>
      </c>
      <c r="AH26">
        <v>3</v>
      </c>
      <c r="AI26">
        <v>-1</v>
      </c>
      <c r="AJ26" t="s">
        <v>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67656998</v>
      </c>
      <c r="C27">
        <v>67656944</v>
      </c>
      <c r="D27">
        <v>49510731</v>
      </c>
      <c r="E27">
        <v>70</v>
      </c>
      <c r="F27">
        <v>1</v>
      </c>
      <c r="G27">
        <v>1</v>
      </c>
      <c r="H27">
        <v>1</v>
      </c>
      <c r="I27" t="s">
        <v>370</v>
      </c>
      <c r="J27" t="s">
        <v>6</v>
      </c>
      <c r="K27" t="s">
        <v>371</v>
      </c>
      <c r="L27">
        <v>1191</v>
      </c>
      <c r="N27">
        <v>1013</v>
      </c>
      <c r="O27" t="s">
        <v>340</v>
      </c>
      <c r="P27" t="s">
        <v>340</v>
      </c>
      <c r="Q27">
        <v>1</v>
      </c>
      <c r="X27">
        <v>158.68</v>
      </c>
      <c r="Y27">
        <v>0</v>
      </c>
      <c r="Z27">
        <v>0</v>
      </c>
      <c r="AA27">
        <v>0</v>
      </c>
      <c r="AB27">
        <v>9.07</v>
      </c>
      <c r="AC27">
        <v>0</v>
      </c>
      <c r="AD27">
        <v>1</v>
      </c>
      <c r="AE27">
        <v>1</v>
      </c>
      <c r="AF27" t="s">
        <v>6</v>
      </c>
      <c r="AG27">
        <v>158.68</v>
      </c>
      <c r="AH27">
        <v>2</v>
      </c>
      <c r="AI27">
        <v>67656998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67656999</v>
      </c>
      <c r="C28">
        <v>67656944</v>
      </c>
      <c r="D28">
        <v>49510905</v>
      </c>
      <c r="E28">
        <v>70</v>
      </c>
      <c r="F28">
        <v>1</v>
      </c>
      <c r="G28">
        <v>1</v>
      </c>
      <c r="H28">
        <v>1</v>
      </c>
      <c r="I28" t="s">
        <v>341</v>
      </c>
      <c r="J28" t="s">
        <v>6</v>
      </c>
      <c r="K28" t="s">
        <v>342</v>
      </c>
      <c r="L28">
        <v>1191</v>
      </c>
      <c r="N28">
        <v>1013</v>
      </c>
      <c r="O28" t="s">
        <v>340</v>
      </c>
      <c r="P28" t="s">
        <v>340</v>
      </c>
      <c r="Q28">
        <v>1</v>
      </c>
      <c r="X28">
        <v>22.39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6</v>
      </c>
      <c r="AG28">
        <v>22.39</v>
      </c>
      <c r="AH28">
        <v>2</v>
      </c>
      <c r="AI28">
        <v>67656999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67657000</v>
      </c>
      <c r="C29">
        <v>67656944</v>
      </c>
      <c r="D29">
        <v>49672573</v>
      </c>
      <c r="E29">
        <v>1</v>
      </c>
      <c r="F29">
        <v>1</v>
      </c>
      <c r="G29">
        <v>1</v>
      </c>
      <c r="H29">
        <v>2</v>
      </c>
      <c r="I29" t="s">
        <v>361</v>
      </c>
      <c r="J29" t="s">
        <v>362</v>
      </c>
      <c r="K29" t="s">
        <v>363</v>
      </c>
      <c r="L29">
        <v>1367</v>
      </c>
      <c r="N29">
        <v>1011</v>
      </c>
      <c r="O29" t="s">
        <v>346</v>
      </c>
      <c r="P29" t="s">
        <v>346</v>
      </c>
      <c r="Q29">
        <v>1</v>
      </c>
      <c r="X29">
        <v>17.989999999999998</v>
      </c>
      <c r="Y29">
        <v>0</v>
      </c>
      <c r="Z29">
        <v>115.4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6</v>
      </c>
      <c r="AG29">
        <v>17.989999999999998</v>
      </c>
      <c r="AH29">
        <v>2</v>
      </c>
      <c r="AI29">
        <v>67657000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67657001</v>
      </c>
      <c r="C30">
        <v>67656944</v>
      </c>
      <c r="D30">
        <v>49672974</v>
      </c>
      <c r="E30">
        <v>1</v>
      </c>
      <c r="F30">
        <v>1</v>
      </c>
      <c r="G30">
        <v>1</v>
      </c>
      <c r="H30">
        <v>2</v>
      </c>
      <c r="I30" t="s">
        <v>372</v>
      </c>
      <c r="J30" t="s">
        <v>373</v>
      </c>
      <c r="K30" t="s">
        <v>374</v>
      </c>
      <c r="L30">
        <v>1367</v>
      </c>
      <c r="N30">
        <v>1011</v>
      </c>
      <c r="O30" t="s">
        <v>346</v>
      </c>
      <c r="P30" t="s">
        <v>346</v>
      </c>
      <c r="Q30">
        <v>1</v>
      </c>
      <c r="X30">
        <v>0.76</v>
      </c>
      <c r="Y30">
        <v>0</v>
      </c>
      <c r="Z30">
        <v>30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6</v>
      </c>
      <c r="AG30">
        <v>0.76</v>
      </c>
      <c r="AH30">
        <v>2</v>
      </c>
      <c r="AI30">
        <v>67657001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67657002</v>
      </c>
      <c r="C31">
        <v>67656944</v>
      </c>
      <c r="D31">
        <v>49673503</v>
      </c>
      <c r="E31">
        <v>1</v>
      </c>
      <c r="F31">
        <v>1</v>
      </c>
      <c r="G31">
        <v>1</v>
      </c>
      <c r="H31">
        <v>2</v>
      </c>
      <c r="I31" t="s">
        <v>364</v>
      </c>
      <c r="J31" t="s">
        <v>365</v>
      </c>
      <c r="K31" t="s">
        <v>366</v>
      </c>
      <c r="L31">
        <v>1367</v>
      </c>
      <c r="N31">
        <v>1011</v>
      </c>
      <c r="O31" t="s">
        <v>346</v>
      </c>
      <c r="P31" t="s">
        <v>346</v>
      </c>
      <c r="Q31">
        <v>1</v>
      </c>
      <c r="X31">
        <v>4.4000000000000004</v>
      </c>
      <c r="Y31">
        <v>0</v>
      </c>
      <c r="Z31">
        <v>65.709999999999994</v>
      </c>
      <c r="AA31">
        <v>11.6</v>
      </c>
      <c r="AB31">
        <v>0</v>
      </c>
      <c r="AC31">
        <v>0</v>
      </c>
      <c r="AD31">
        <v>1</v>
      </c>
      <c r="AE31">
        <v>0</v>
      </c>
      <c r="AF31" t="s">
        <v>6</v>
      </c>
      <c r="AG31">
        <v>4.4000000000000004</v>
      </c>
      <c r="AH31">
        <v>2</v>
      </c>
      <c r="AI31">
        <v>67657002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ROW(Source!A36)</f>
        <v>36</v>
      </c>
      <c r="B32">
        <v>67657003</v>
      </c>
      <c r="C32">
        <v>67656944</v>
      </c>
      <c r="D32">
        <v>49521319</v>
      </c>
      <c r="E32">
        <v>1</v>
      </c>
      <c r="F32">
        <v>1</v>
      </c>
      <c r="G32">
        <v>1</v>
      </c>
      <c r="H32">
        <v>3</v>
      </c>
      <c r="I32" t="s">
        <v>375</v>
      </c>
      <c r="J32" t="s">
        <v>376</v>
      </c>
      <c r="K32" t="s">
        <v>377</v>
      </c>
      <c r="L32">
        <v>1348</v>
      </c>
      <c r="N32">
        <v>1009</v>
      </c>
      <c r="O32" t="s">
        <v>129</v>
      </c>
      <c r="P32" t="s">
        <v>129</v>
      </c>
      <c r="Q32">
        <v>1000</v>
      </c>
      <c r="X32">
        <v>0.1</v>
      </c>
      <c r="Y32">
        <v>1383.1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6</v>
      </c>
      <c r="AG32">
        <v>0.1</v>
      </c>
      <c r="AH32">
        <v>2</v>
      </c>
      <c r="AI32">
        <v>67657003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ROW(Source!A36)</f>
        <v>36</v>
      </c>
      <c r="B33">
        <v>67657004</v>
      </c>
      <c r="C33">
        <v>67656944</v>
      </c>
      <c r="D33">
        <v>49521570</v>
      </c>
      <c r="E33">
        <v>1</v>
      </c>
      <c r="F33">
        <v>1</v>
      </c>
      <c r="G33">
        <v>1</v>
      </c>
      <c r="H33">
        <v>3</v>
      </c>
      <c r="I33" t="s">
        <v>378</v>
      </c>
      <c r="J33" t="s">
        <v>379</v>
      </c>
      <c r="K33" t="s">
        <v>380</v>
      </c>
      <c r="L33">
        <v>1348</v>
      </c>
      <c r="N33">
        <v>1009</v>
      </c>
      <c r="O33" t="s">
        <v>129</v>
      </c>
      <c r="P33" t="s">
        <v>129</v>
      </c>
      <c r="Q33">
        <v>1000</v>
      </c>
      <c r="X33">
        <v>1.7999999999999999E-2</v>
      </c>
      <c r="Y33">
        <v>4041.7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6</v>
      </c>
      <c r="AG33">
        <v>1.7999999999999999E-2</v>
      </c>
      <c r="AH33">
        <v>2</v>
      </c>
      <c r="AI33">
        <v>67657004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ROW(Source!A36)</f>
        <v>36</v>
      </c>
      <c r="B34">
        <v>67657005</v>
      </c>
      <c r="C34">
        <v>67656944</v>
      </c>
      <c r="D34">
        <v>49523843</v>
      </c>
      <c r="E34">
        <v>1</v>
      </c>
      <c r="F34">
        <v>1</v>
      </c>
      <c r="G34">
        <v>1</v>
      </c>
      <c r="H34">
        <v>3</v>
      </c>
      <c r="I34" t="s">
        <v>381</v>
      </c>
      <c r="J34" t="s">
        <v>382</v>
      </c>
      <c r="K34" t="s">
        <v>383</v>
      </c>
      <c r="L34">
        <v>1348</v>
      </c>
      <c r="N34">
        <v>1009</v>
      </c>
      <c r="O34" t="s">
        <v>129</v>
      </c>
      <c r="P34" t="s">
        <v>129</v>
      </c>
      <c r="Q34">
        <v>1000</v>
      </c>
      <c r="X34">
        <v>7.1999999999999995E-2</v>
      </c>
      <c r="Y34">
        <v>30030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6</v>
      </c>
      <c r="AG34">
        <v>7.1999999999999995E-2</v>
      </c>
      <c r="AH34">
        <v>2</v>
      </c>
      <c r="AI34">
        <v>67657005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ROW(Source!A36)</f>
        <v>36</v>
      </c>
      <c r="B35">
        <v>67657006</v>
      </c>
      <c r="C35">
        <v>67656944</v>
      </c>
      <c r="D35">
        <v>49526056</v>
      </c>
      <c r="E35">
        <v>1</v>
      </c>
      <c r="F35">
        <v>1</v>
      </c>
      <c r="G35">
        <v>1</v>
      </c>
      <c r="H35">
        <v>3</v>
      </c>
      <c r="I35" t="s">
        <v>384</v>
      </c>
      <c r="J35" t="s">
        <v>385</v>
      </c>
      <c r="K35" t="s">
        <v>386</v>
      </c>
      <c r="L35">
        <v>1348</v>
      </c>
      <c r="N35">
        <v>1009</v>
      </c>
      <c r="O35" t="s">
        <v>129</v>
      </c>
      <c r="P35" t="s">
        <v>129</v>
      </c>
      <c r="Q35">
        <v>1000</v>
      </c>
      <c r="X35">
        <v>1.7000000000000001E-2</v>
      </c>
      <c r="Y35">
        <v>3938.2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6</v>
      </c>
      <c r="AG35">
        <v>1.7000000000000001E-2</v>
      </c>
      <c r="AH35">
        <v>2</v>
      </c>
      <c r="AI35">
        <v>67657006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ROW(Source!A36)</f>
        <v>36</v>
      </c>
      <c r="B36">
        <v>67657007</v>
      </c>
      <c r="C36">
        <v>67656944</v>
      </c>
      <c r="D36">
        <v>49527747</v>
      </c>
      <c r="E36">
        <v>1</v>
      </c>
      <c r="F36">
        <v>1</v>
      </c>
      <c r="G36">
        <v>1</v>
      </c>
      <c r="H36">
        <v>3</v>
      </c>
      <c r="I36" t="s">
        <v>387</v>
      </c>
      <c r="J36" t="s">
        <v>388</v>
      </c>
      <c r="K36" t="s">
        <v>389</v>
      </c>
      <c r="L36">
        <v>1348</v>
      </c>
      <c r="N36">
        <v>1009</v>
      </c>
      <c r="O36" t="s">
        <v>129</v>
      </c>
      <c r="P36" t="s">
        <v>129</v>
      </c>
      <c r="Q36">
        <v>1000</v>
      </c>
      <c r="X36">
        <v>8.0000000000000002E-3</v>
      </c>
      <c r="Y36">
        <v>412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6</v>
      </c>
      <c r="AG36">
        <v>8.0000000000000002E-3</v>
      </c>
      <c r="AH36">
        <v>2</v>
      </c>
      <c r="AI36">
        <v>67657007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ROW(Source!A36)</f>
        <v>36</v>
      </c>
      <c r="B37">
        <v>67657008</v>
      </c>
      <c r="C37">
        <v>67656944</v>
      </c>
      <c r="D37">
        <v>49528283</v>
      </c>
      <c r="E37">
        <v>1</v>
      </c>
      <c r="F37">
        <v>1</v>
      </c>
      <c r="G37">
        <v>1</v>
      </c>
      <c r="H37">
        <v>3</v>
      </c>
      <c r="I37" t="s">
        <v>390</v>
      </c>
      <c r="J37" t="s">
        <v>391</v>
      </c>
      <c r="K37" t="s">
        <v>392</v>
      </c>
      <c r="L37">
        <v>1339</v>
      </c>
      <c r="N37">
        <v>1007</v>
      </c>
      <c r="O37" t="s">
        <v>33</v>
      </c>
      <c r="P37" t="s">
        <v>33</v>
      </c>
      <c r="Q37">
        <v>1</v>
      </c>
      <c r="X37">
        <v>1.25</v>
      </c>
      <c r="Y37">
        <v>545.6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6</v>
      </c>
      <c r="AG37">
        <v>1.25</v>
      </c>
      <c r="AH37">
        <v>2</v>
      </c>
      <c r="AI37">
        <v>67657008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ROW(Source!A36)</f>
        <v>36</v>
      </c>
      <c r="B38">
        <v>67657009</v>
      </c>
      <c r="C38">
        <v>67656944</v>
      </c>
      <c r="D38">
        <v>49528288</v>
      </c>
      <c r="E38">
        <v>1</v>
      </c>
      <c r="F38">
        <v>1</v>
      </c>
      <c r="G38">
        <v>1</v>
      </c>
      <c r="H38">
        <v>3</v>
      </c>
      <c r="I38" t="s">
        <v>102</v>
      </c>
      <c r="J38" t="s">
        <v>104</v>
      </c>
      <c r="K38" t="s">
        <v>103</v>
      </c>
      <c r="L38">
        <v>1339</v>
      </c>
      <c r="N38">
        <v>1007</v>
      </c>
      <c r="O38" t="s">
        <v>33</v>
      </c>
      <c r="P38" t="s">
        <v>33</v>
      </c>
      <c r="Q38">
        <v>1</v>
      </c>
      <c r="X38">
        <v>4.0999999999999996</v>
      </c>
      <c r="Y38">
        <v>592.76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6</v>
      </c>
      <c r="AG38">
        <v>4.0999999999999996</v>
      </c>
      <c r="AH38">
        <v>2</v>
      </c>
      <c r="AI38">
        <v>67657038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ROW(Source!A36)</f>
        <v>36</v>
      </c>
      <c r="B39">
        <v>67657010</v>
      </c>
      <c r="C39">
        <v>67656944</v>
      </c>
      <c r="D39">
        <v>49528386</v>
      </c>
      <c r="E39">
        <v>1</v>
      </c>
      <c r="F39">
        <v>1</v>
      </c>
      <c r="G39">
        <v>1</v>
      </c>
      <c r="H39">
        <v>3</v>
      </c>
      <c r="I39" t="s">
        <v>393</v>
      </c>
      <c r="J39" t="s">
        <v>394</v>
      </c>
      <c r="K39" t="s">
        <v>395</v>
      </c>
      <c r="L39">
        <v>1348</v>
      </c>
      <c r="N39">
        <v>1009</v>
      </c>
      <c r="O39" t="s">
        <v>129</v>
      </c>
      <c r="P39" t="s">
        <v>129</v>
      </c>
      <c r="Q39">
        <v>1000</v>
      </c>
      <c r="X39">
        <v>0.21</v>
      </c>
      <c r="Y39">
        <v>491.01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6</v>
      </c>
      <c r="AG39">
        <v>0.21</v>
      </c>
      <c r="AH39">
        <v>2</v>
      </c>
      <c r="AI39">
        <v>67657010</v>
      </c>
      <c r="AJ39">
        <v>40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ROW(Source!A36)</f>
        <v>36</v>
      </c>
      <c r="B40">
        <v>67657011</v>
      </c>
      <c r="C40">
        <v>67656944</v>
      </c>
      <c r="D40">
        <v>49528500</v>
      </c>
      <c r="E40">
        <v>1</v>
      </c>
      <c r="F40">
        <v>1</v>
      </c>
      <c r="G40">
        <v>1</v>
      </c>
      <c r="H40">
        <v>3</v>
      </c>
      <c r="I40" t="s">
        <v>396</v>
      </c>
      <c r="J40" t="s">
        <v>397</v>
      </c>
      <c r="K40" t="s">
        <v>398</v>
      </c>
      <c r="L40">
        <v>1339</v>
      </c>
      <c r="N40">
        <v>1007</v>
      </c>
      <c r="O40" t="s">
        <v>33</v>
      </c>
      <c r="P40" t="s">
        <v>33</v>
      </c>
      <c r="Q40">
        <v>1</v>
      </c>
      <c r="X40">
        <v>4.4499999999999998E-2</v>
      </c>
      <c r="Y40">
        <v>395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6</v>
      </c>
      <c r="AG40">
        <v>4.4499999999999998E-2</v>
      </c>
      <c r="AH40">
        <v>2</v>
      </c>
      <c r="AI40">
        <v>67657011</v>
      </c>
      <c r="AJ40">
        <v>41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ROW(Source!A36)</f>
        <v>36</v>
      </c>
      <c r="B41">
        <v>67657012</v>
      </c>
      <c r="C41">
        <v>67656944</v>
      </c>
      <c r="D41">
        <v>49528525</v>
      </c>
      <c r="E41">
        <v>1</v>
      </c>
      <c r="F41">
        <v>1</v>
      </c>
      <c r="G41">
        <v>1</v>
      </c>
      <c r="H41">
        <v>3</v>
      </c>
      <c r="I41" t="s">
        <v>399</v>
      </c>
      <c r="J41" t="s">
        <v>400</v>
      </c>
      <c r="K41" t="s">
        <v>401</v>
      </c>
      <c r="L41">
        <v>1339</v>
      </c>
      <c r="N41">
        <v>1007</v>
      </c>
      <c r="O41" t="s">
        <v>33</v>
      </c>
      <c r="P41" t="s">
        <v>33</v>
      </c>
      <c r="Q41">
        <v>1</v>
      </c>
      <c r="X41">
        <v>0.72</v>
      </c>
      <c r="Y41">
        <v>485.9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6</v>
      </c>
      <c r="AG41">
        <v>0.72</v>
      </c>
      <c r="AH41">
        <v>2</v>
      </c>
      <c r="AI41">
        <v>67657012</v>
      </c>
      <c r="AJ41">
        <v>42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ROW(Source!A36)</f>
        <v>36</v>
      </c>
      <c r="B42">
        <v>67657013</v>
      </c>
      <c r="C42">
        <v>67656944</v>
      </c>
      <c r="D42">
        <v>49511868</v>
      </c>
      <c r="E42">
        <v>70</v>
      </c>
      <c r="F42">
        <v>1</v>
      </c>
      <c r="G42">
        <v>1</v>
      </c>
      <c r="H42">
        <v>3</v>
      </c>
      <c r="I42" t="s">
        <v>482</v>
      </c>
      <c r="J42" t="s">
        <v>6</v>
      </c>
      <c r="K42" t="s">
        <v>483</v>
      </c>
      <c r="L42">
        <v>1301</v>
      </c>
      <c r="N42">
        <v>1003</v>
      </c>
      <c r="O42" t="s">
        <v>86</v>
      </c>
      <c r="P42" t="s">
        <v>86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6</v>
      </c>
      <c r="AG42">
        <v>0</v>
      </c>
      <c r="AH42">
        <v>3</v>
      </c>
      <c r="AI42">
        <v>-1</v>
      </c>
      <c r="AJ42" t="s">
        <v>6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ROW(Source!A36)</f>
        <v>36</v>
      </c>
      <c r="B43">
        <v>67657014</v>
      </c>
      <c r="C43">
        <v>67656944</v>
      </c>
      <c r="D43">
        <v>49511895</v>
      </c>
      <c r="E43">
        <v>70</v>
      </c>
      <c r="F43">
        <v>1</v>
      </c>
      <c r="G43">
        <v>1</v>
      </c>
      <c r="H43">
        <v>3</v>
      </c>
      <c r="I43" t="s">
        <v>484</v>
      </c>
      <c r="J43" t="s">
        <v>6</v>
      </c>
      <c r="K43" t="s">
        <v>485</v>
      </c>
      <c r="L43">
        <v>1371</v>
      </c>
      <c r="N43">
        <v>1013</v>
      </c>
      <c r="O43" t="s">
        <v>99</v>
      </c>
      <c r="P43" t="s">
        <v>99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6</v>
      </c>
      <c r="AG43">
        <v>0</v>
      </c>
      <c r="AH43">
        <v>3</v>
      </c>
      <c r="AI43">
        <v>-1</v>
      </c>
      <c r="AJ43" t="s">
        <v>6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ROW(Source!A36)</f>
        <v>36</v>
      </c>
      <c r="B44">
        <v>67657015</v>
      </c>
      <c r="C44">
        <v>67656944</v>
      </c>
      <c r="D44">
        <v>49539501</v>
      </c>
      <c r="E44">
        <v>1</v>
      </c>
      <c r="F44">
        <v>1</v>
      </c>
      <c r="G44">
        <v>1</v>
      </c>
      <c r="H44">
        <v>3</v>
      </c>
      <c r="I44" t="s">
        <v>127</v>
      </c>
      <c r="J44" t="s">
        <v>130</v>
      </c>
      <c r="K44" t="s">
        <v>128</v>
      </c>
      <c r="L44">
        <v>1348</v>
      </c>
      <c r="N44">
        <v>1009</v>
      </c>
      <c r="O44" t="s">
        <v>129</v>
      </c>
      <c r="P44" t="s">
        <v>129</v>
      </c>
      <c r="Q44">
        <v>1000</v>
      </c>
      <c r="X44">
        <v>0</v>
      </c>
      <c r="Y44">
        <v>7571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6</v>
      </c>
      <c r="AG44">
        <v>0</v>
      </c>
      <c r="AH44">
        <v>2</v>
      </c>
      <c r="AI44">
        <v>67657015</v>
      </c>
      <c r="AJ44">
        <v>49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ROW(Source!A36)</f>
        <v>36</v>
      </c>
      <c r="B45">
        <v>67657016</v>
      </c>
      <c r="C45">
        <v>67656944</v>
      </c>
      <c r="D45">
        <v>49512776</v>
      </c>
      <c r="E45">
        <v>70</v>
      </c>
      <c r="F45">
        <v>1</v>
      </c>
      <c r="G45">
        <v>1</v>
      </c>
      <c r="H45">
        <v>3</v>
      </c>
      <c r="I45" t="s">
        <v>486</v>
      </c>
      <c r="J45" t="s">
        <v>6</v>
      </c>
      <c r="K45" t="s">
        <v>487</v>
      </c>
      <c r="L45">
        <v>1371</v>
      </c>
      <c r="N45">
        <v>1013</v>
      </c>
      <c r="O45" t="s">
        <v>99</v>
      </c>
      <c r="P45" t="s">
        <v>99</v>
      </c>
      <c r="Q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0</v>
      </c>
      <c r="AF45" t="s">
        <v>6</v>
      </c>
      <c r="AG45">
        <v>0</v>
      </c>
      <c r="AH45">
        <v>3</v>
      </c>
      <c r="AI45">
        <v>-1</v>
      </c>
      <c r="AJ45" t="s">
        <v>6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ROW(Source!A47)</f>
        <v>47</v>
      </c>
      <c r="B46">
        <v>67660349</v>
      </c>
      <c r="C46">
        <v>67660324</v>
      </c>
      <c r="D46">
        <v>49510731</v>
      </c>
      <c r="E46">
        <v>70</v>
      </c>
      <c r="F46">
        <v>1</v>
      </c>
      <c r="G46">
        <v>1</v>
      </c>
      <c r="H46">
        <v>1</v>
      </c>
      <c r="I46" t="s">
        <v>370</v>
      </c>
      <c r="J46" t="s">
        <v>6</v>
      </c>
      <c r="K46" t="s">
        <v>371</v>
      </c>
      <c r="L46">
        <v>1191</v>
      </c>
      <c r="N46">
        <v>1013</v>
      </c>
      <c r="O46" t="s">
        <v>340</v>
      </c>
      <c r="P46" t="s">
        <v>340</v>
      </c>
      <c r="Q46">
        <v>1</v>
      </c>
      <c r="X46">
        <v>111.6</v>
      </c>
      <c r="Y46">
        <v>0</v>
      </c>
      <c r="Z46">
        <v>0</v>
      </c>
      <c r="AA46">
        <v>0</v>
      </c>
      <c r="AB46">
        <v>9.07</v>
      </c>
      <c r="AC46">
        <v>0</v>
      </c>
      <c r="AD46">
        <v>1</v>
      </c>
      <c r="AE46">
        <v>1</v>
      </c>
      <c r="AF46" t="s">
        <v>6</v>
      </c>
      <c r="AG46">
        <v>111.6</v>
      </c>
      <c r="AH46">
        <v>2</v>
      </c>
      <c r="AI46">
        <v>67660349</v>
      </c>
      <c r="AJ46">
        <v>51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ROW(Source!A47)</f>
        <v>47</v>
      </c>
      <c r="B47">
        <v>67660350</v>
      </c>
      <c r="C47">
        <v>67660324</v>
      </c>
      <c r="D47">
        <v>49510905</v>
      </c>
      <c r="E47">
        <v>70</v>
      </c>
      <c r="F47">
        <v>1</v>
      </c>
      <c r="G47">
        <v>1</v>
      </c>
      <c r="H47">
        <v>1</v>
      </c>
      <c r="I47" t="s">
        <v>341</v>
      </c>
      <c r="J47" t="s">
        <v>6</v>
      </c>
      <c r="K47" t="s">
        <v>342</v>
      </c>
      <c r="L47">
        <v>1191</v>
      </c>
      <c r="N47">
        <v>1013</v>
      </c>
      <c r="O47" t="s">
        <v>340</v>
      </c>
      <c r="P47" t="s">
        <v>340</v>
      </c>
      <c r="Q47">
        <v>1</v>
      </c>
      <c r="X47">
        <v>16.45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 t="s">
        <v>6</v>
      </c>
      <c r="AG47">
        <v>16.45</v>
      </c>
      <c r="AH47">
        <v>2</v>
      </c>
      <c r="AI47">
        <v>67660350</v>
      </c>
      <c r="AJ47">
        <v>52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ROW(Source!A47)</f>
        <v>47</v>
      </c>
      <c r="B48">
        <v>67660351</v>
      </c>
      <c r="C48">
        <v>67660324</v>
      </c>
      <c r="D48">
        <v>49672573</v>
      </c>
      <c r="E48">
        <v>1</v>
      </c>
      <c r="F48">
        <v>1</v>
      </c>
      <c r="G48">
        <v>1</v>
      </c>
      <c r="H48">
        <v>2</v>
      </c>
      <c r="I48" t="s">
        <v>361</v>
      </c>
      <c r="J48" t="s">
        <v>362</v>
      </c>
      <c r="K48" t="s">
        <v>363</v>
      </c>
      <c r="L48">
        <v>1367</v>
      </c>
      <c r="N48">
        <v>1011</v>
      </c>
      <c r="O48" t="s">
        <v>346</v>
      </c>
      <c r="P48" t="s">
        <v>346</v>
      </c>
      <c r="Q48">
        <v>1</v>
      </c>
      <c r="X48">
        <v>10.54</v>
      </c>
      <c r="Y48">
        <v>0</v>
      </c>
      <c r="Z48">
        <v>115.4</v>
      </c>
      <c r="AA48">
        <v>13.5</v>
      </c>
      <c r="AB48">
        <v>0</v>
      </c>
      <c r="AC48">
        <v>0</v>
      </c>
      <c r="AD48">
        <v>1</v>
      </c>
      <c r="AE48">
        <v>0</v>
      </c>
      <c r="AF48" t="s">
        <v>6</v>
      </c>
      <c r="AG48">
        <v>10.54</v>
      </c>
      <c r="AH48">
        <v>2</v>
      </c>
      <c r="AI48">
        <v>67660351</v>
      </c>
      <c r="AJ48">
        <v>53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ROW(Source!A47)</f>
        <v>47</v>
      </c>
      <c r="B49">
        <v>67660352</v>
      </c>
      <c r="C49">
        <v>67660324</v>
      </c>
      <c r="D49">
        <v>49672974</v>
      </c>
      <c r="E49">
        <v>1</v>
      </c>
      <c r="F49">
        <v>1</v>
      </c>
      <c r="G49">
        <v>1</v>
      </c>
      <c r="H49">
        <v>2</v>
      </c>
      <c r="I49" t="s">
        <v>372</v>
      </c>
      <c r="J49" t="s">
        <v>373</v>
      </c>
      <c r="K49" t="s">
        <v>374</v>
      </c>
      <c r="L49">
        <v>1367</v>
      </c>
      <c r="N49">
        <v>1011</v>
      </c>
      <c r="O49" t="s">
        <v>346</v>
      </c>
      <c r="P49" t="s">
        <v>346</v>
      </c>
      <c r="Q49">
        <v>1</v>
      </c>
      <c r="X49">
        <v>0.61</v>
      </c>
      <c r="Y49">
        <v>0</v>
      </c>
      <c r="Z49">
        <v>30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6</v>
      </c>
      <c r="AG49">
        <v>0.61</v>
      </c>
      <c r="AH49">
        <v>2</v>
      </c>
      <c r="AI49">
        <v>67660352</v>
      </c>
      <c r="AJ49">
        <v>54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ROW(Source!A47)</f>
        <v>47</v>
      </c>
      <c r="B50">
        <v>67660353</v>
      </c>
      <c r="C50">
        <v>67660324</v>
      </c>
      <c r="D50">
        <v>49673503</v>
      </c>
      <c r="E50">
        <v>1</v>
      </c>
      <c r="F50">
        <v>1</v>
      </c>
      <c r="G50">
        <v>1</v>
      </c>
      <c r="H50">
        <v>2</v>
      </c>
      <c r="I50" t="s">
        <v>364</v>
      </c>
      <c r="J50" t="s">
        <v>365</v>
      </c>
      <c r="K50" t="s">
        <v>366</v>
      </c>
      <c r="L50">
        <v>1367</v>
      </c>
      <c r="N50">
        <v>1011</v>
      </c>
      <c r="O50" t="s">
        <v>346</v>
      </c>
      <c r="P50" t="s">
        <v>346</v>
      </c>
      <c r="Q50">
        <v>1</v>
      </c>
      <c r="X50">
        <v>5.91</v>
      </c>
      <c r="Y50">
        <v>0</v>
      </c>
      <c r="Z50">
        <v>65.709999999999994</v>
      </c>
      <c r="AA50">
        <v>11.6</v>
      </c>
      <c r="AB50">
        <v>0</v>
      </c>
      <c r="AC50">
        <v>0</v>
      </c>
      <c r="AD50">
        <v>1</v>
      </c>
      <c r="AE50">
        <v>0</v>
      </c>
      <c r="AF50" t="s">
        <v>6</v>
      </c>
      <c r="AG50">
        <v>5.91</v>
      </c>
      <c r="AH50">
        <v>2</v>
      </c>
      <c r="AI50">
        <v>67660353</v>
      </c>
      <c r="AJ50">
        <v>55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ROW(Source!A47)</f>
        <v>47</v>
      </c>
      <c r="B51">
        <v>67660354</v>
      </c>
      <c r="C51">
        <v>67660324</v>
      </c>
      <c r="D51">
        <v>49521319</v>
      </c>
      <c r="E51">
        <v>1</v>
      </c>
      <c r="F51">
        <v>1</v>
      </c>
      <c r="G51">
        <v>1</v>
      </c>
      <c r="H51">
        <v>3</v>
      </c>
      <c r="I51" t="s">
        <v>375</v>
      </c>
      <c r="J51" t="s">
        <v>376</v>
      </c>
      <c r="K51" t="s">
        <v>377</v>
      </c>
      <c r="L51">
        <v>1348</v>
      </c>
      <c r="N51">
        <v>1009</v>
      </c>
      <c r="O51" t="s">
        <v>129</v>
      </c>
      <c r="P51" t="s">
        <v>129</v>
      </c>
      <c r="Q51">
        <v>1000</v>
      </c>
      <c r="X51">
        <v>0.08</v>
      </c>
      <c r="Y51">
        <v>1383.1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6</v>
      </c>
      <c r="AG51">
        <v>0.08</v>
      </c>
      <c r="AH51">
        <v>2</v>
      </c>
      <c r="AI51">
        <v>67660354</v>
      </c>
      <c r="AJ51">
        <v>56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ROW(Source!A47)</f>
        <v>47</v>
      </c>
      <c r="B52">
        <v>67660355</v>
      </c>
      <c r="C52">
        <v>67660324</v>
      </c>
      <c r="D52">
        <v>49521570</v>
      </c>
      <c r="E52">
        <v>1</v>
      </c>
      <c r="F52">
        <v>1</v>
      </c>
      <c r="G52">
        <v>1</v>
      </c>
      <c r="H52">
        <v>3</v>
      </c>
      <c r="I52" t="s">
        <v>378</v>
      </c>
      <c r="J52" t="s">
        <v>379</v>
      </c>
      <c r="K52" t="s">
        <v>380</v>
      </c>
      <c r="L52">
        <v>1348</v>
      </c>
      <c r="N52">
        <v>1009</v>
      </c>
      <c r="O52" t="s">
        <v>129</v>
      </c>
      <c r="P52" t="s">
        <v>129</v>
      </c>
      <c r="Q52">
        <v>1000</v>
      </c>
      <c r="X52">
        <v>1.4999999999999999E-2</v>
      </c>
      <c r="Y52">
        <v>4041.7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6</v>
      </c>
      <c r="AG52">
        <v>1.4999999999999999E-2</v>
      </c>
      <c r="AH52">
        <v>2</v>
      </c>
      <c r="AI52">
        <v>67660355</v>
      </c>
      <c r="AJ52">
        <v>57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ROW(Source!A47)</f>
        <v>47</v>
      </c>
      <c r="B53">
        <v>67660356</v>
      </c>
      <c r="C53">
        <v>67660324</v>
      </c>
      <c r="D53">
        <v>49523843</v>
      </c>
      <c r="E53">
        <v>1</v>
      </c>
      <c r="F53">
        <v>1</v>
      </c>
      <c r="G53">
        <v>1</v>
      </c>
      <c r="H53">
        <v>3</v>
      </c>
      <c r="I53" t="s">
        <v>381</v>
      </c>
      <c r="J53" t="s">
        <v>382</v>
      </c>
      <c r="K53" t="s">
        <v>383</v>
      </c>
      <c r="L53">
        <v>1348</v>
      </c>
      <c r="N53">
        <v>1009</v>
      </c>
      <c r="O53" t="s">
        <v>129</v>
      </c>
      <c r="P53" t="s">
        <v>129</v>
      </c>
      <c r="Q53">
        <v>1000</v>
      </c>
      <c r="X53">
        <v>0.06</v>
      </c>
      <c r="Y53">
        <v>30030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6</v>
      </c>
      <c r="AG53">
        <v>0.06</v>
      </c>
      <c r="AH53">
        <v>2</v>
      </c>
      <c r="AI53">
        <v>67660356</v>
      </c>
      <c r="AJ53">
        <v>58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ROW(Source!A47)</f>
        <v>47</v>
      </c>
      <c r="B54">
        <v>67660357</v>
      </c>
      <c r="C54">
        <v>67660324</v>
      </c>
      <c r="D54">
        <v>49526056</v>
      </c>
      <c r="E54">
        <v>1</v>
      </c>
      <c r="F54">
        <v>1</v>
      </c>
      <c r="G54">
        <v>1</v>
      </c>
      <c r="H54">
        <v>3</v>
      </c>
      <c r="I54" t="s">
        <v>384</v>
      </c>
      <c r="J54" t="s">
        <v>385</v>
      </c>
      <c r="K54" t="s">
        <v>386</v>
      </c>
      <c r="L54">
        <v>1348</v>
      </c>
      <c r="N54">
        <v>1009</v>
      </c>
      <c r="O54" t="s">
        <v>129</v>
      </c>
      <c r="P54" t="s">
        <v>129</v>
      </c>
      <c r="Q54">
        <v>1000</v>
      </c>
      <c r="X54">
        <v>1.9E-2</v>
      </c>
      <c r="Y54">
        <v>3938.2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6</v>
      </c>
      <c r="AG54">
        <v>1.9E-2</v>
      </c>
      <c r="AH54">
        <v>2</v>
      </c>
      <c r="AI54">
        <v>67660357</v>
      </c>
      <c r="AJ54">
        <v>59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ROW(Source!A47)</f>
        <v>47</v>
      </c>
      <c r="B55">
        <v>67660358</v>
      </c>
      <c r="C55">
        <v>67660324</v>
      </c>
      <c r="D55">
        <v>49527747</v>
      </c>
      <c r="E55">
        <v>1</v>
      </c>
      <c r="F55">
        <v>1</v>
      </c>
      <c r="G55">
        <v>1</v>
      </c>
      <c r="H55">
        <v>3</v>
      </c>
      <c r="I55" t="s">
        <v>387</v>
      </c>
      <c r="J55" t="s">
        <v>388</v>
      </c>
      <c r="K55" t="s">
        <v>389</v>
      </c>
      <c r="L55">
        <v>1348</v>
      </c>
      <c r="N55">
        <v>1009</v>
      </c>
      <c r="O55" t="s">
        <v>129</v>
      </c>
      <c r="P55" t="s">
        <v>129</v>
      </c>
      <c r="Q55">
        <v>1000</v>
      </c>
      <c r="X55">
        <v>7.0000000000000001E-3</v>
      </c>
      <c r="Y55">
        <v>412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6</v>
      </c>
      <c r="AG55">
        <v>7.0000000000000001E-3</v>
      </c>
      <c r="AH55">
        <v>2</v>
      </c>
      <c r="AI55">
        <v>67660358</v>
      </c>
      <c r="AJ55">
        <v>60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ROW(Source!A47)</f>
        <v>47</v>
      </c>
      <c r="B56">
        <v>67660359</v>
      </c>
      <c r="C56">
        <v>67660324</v>
      </c>
      <c r="D56">
        <v>49528283</v>
      </c>
      <c r="E56">
        <v>1</v>
      </c>
      <c r="F56">
        <v>1</v>
      </c>
      <c r="G56">
        <v>1</v>
      </c>
      <c r="H56">
        <v>3</v>
      </c>
      <c r="I56" t="s">
        <v>390</v>
      </c>
      <c r="J56" t="s">
        <v>391</v>
      </c>
      <c r="K56" t="s">
        <v>392</v>
      </c>
      <c r="L56">
        <v>1339</v>
      </c>
      <c r="N56">
        <v>1007</v>
      </c>
      <c r="O56" t="s">
        <v>33</v>
      </c>
      <c r="P56" t="s">
        <v>33</v>
      </c>
      <c r="Q56">
        <v>1</v>
      </c>
      <c r="X56">
        <v>1.01</v>
      </c>
      <c r="Y56">
        <v>545.6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6</v>
      </c>
      <c r="AG56">
        <v>1.01</v>
      </c>
      <c r="AH56">
        <v>2</v>
      </c>
      <c r="AI56">
        <v>67660359</v>
      </c>
      <c r="AJ56">
        <v>61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ROW(Source!A47)</f>
        <v>47</v>
      </c>
      <c r="B57">
        <v>67660360</v>
      </c>
      <c r="C57">
        <v>67660324</v>
      </c>
      <c r="D57">
        <v>49528288</v>
      </c>
      <c r="E57">
        <v>1</v>
      </c>
      <c r="F57">
        <v>1</v>
      </c>
      <c r="G57">
        <v>1</v>
      </c>
      <c r="H57">
        <v>3</v>
      </c>
      <c r="I57" t="s">
        <v>102</v>
      </c>
      <c r="J57" t="s">
        <v>104</v>
      </c>
      <c r="K57" t="s">
        <v>103</v>
      </c>
      <c r="L57">
        <v>1339</v>
      </c>
      <c r="N57">
        <v>1007</v>
      </c>
      <c r="O57" t="s">
        <v>33</v>
      </c>
      <c r="P57" t="s">
        <v>33</v>
      </c>
      <c r="Q57">
        <v>1</v>
      </c>
      <c r="X57">
        <v>5.2</v>
      </c>
      <c r="Y57">
        <v>592.76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6</v>
      </c>
      <c r="AG57">
        <v>5.2</v>
      </c>
      <c r="AH57">
        <v>2</v>
      </c>
      <c r="AI57">
        <v>67660360</v>
      </c>
      <c r="AJ57">
        <v>62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ROW(Source!A47)</f>
        <v>47</v>
      </c>
      <c r="B58">
        <v>67660361</v>
      </c>
      <c r="C58">
        <v>67660324</v>
      </c>
      <c r="D58">
        <v>49528386</v>
      </c>
      <c r="E58">
        <v>1</v>
      </c>
      <c r="F58">
        <v>1</v>
      </c>
      <c r="G58">
        <v>1</v>
      </c>
      <c r="H58">
        <v>3</v>
      </c>
      <c r="I58" t="s">
        <v>393</v>
      </c>
      <c r="J58" t="s">
        <v>394</v>
      </c>
      <c r="K58" t="s">
        <v>395</v>
      </c>
      <c r="L58">
        <v>1348</v>
      </c>
      <c r="N58">
        <v>1009</v>
      </c>
      <c r="O58" t="s">
        <v>129</v>
      </c>
      <c r="P58" t="s">
        <v>129</v>
      </c>
      <c r="Q58">
        <v>1000</v>
      </c>
      <c r="X58">
        <v>0.19</v>
      </c>
      <c r="Y58">
        <v>491.01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6</v>
      </c>
      <c r="AG58">
        <v>0.19</v>
      </c>
      <c r="AH58">
        <v>2</v>
      </c>
      <c r="AI58">
        <v>67660361</v>
      </c>
      <c r="AJ58">
        <v>64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ROW(Source!A47)</f>
        <v>47</v>
      </c>
      <c r="B59">
        <v>67660362</v>
      </c>
      <c r="C59">
        <v>67660324</v>
      </c>
      <c r="D59">
        <v>49528500</v>
      </c>
      <c r="E59">
        <v>1</v>
      </c>
      <c r="F59">
        <v>1</v>
      </c>
      <c r="G59">
        <v>1</v>
      </c>
      <c r="H59">
        <v>3</v>
      </c>
      <c r="I59" t="s">
        <v>396</v>
      </c>
      <c r="J59" t="s">
        <v>397</v>
      </c>
      <c r="K59" t="s">
        <v>398</v>
      </c>
      <c r="L59">
        <v>1339</v>
      </c>
      <c r="N59">
        <v>1007</v>
      </c>
      <c r="O59" t="s">
        <v>33</v>
      </c>
      <c r="P59" t="s">
        <v>33</v>
      </c>
      <c r="Q59">
        <v>1</v>
      </c>
      <c r="X59">
        <v>3.7999999999999999E-2</v>
      </c>
      <c r="Y59">
        <v>395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6</v>
      </c>
      <c r="AG59">
        <v>3.7999999999999999E-2</v>
      </c>
      <c r="AH59">
        <v>2</v>
      </c>
      <c r="AI59">
        <v>67660362</v>
      </c>
      <c r="AJ59">
        <v>65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ROW(Source!A47)</f>
        <v>47</v>
      </c>
      <c r="B60">
        <v>67660363</v>
      </c>
      <c r="C60">
        <v>67660324</v>
      </c>
      <c r="D60">
        <v>49528525</v>
      </c>
      <c r="E60">
        <v>1</v>
      </c>
      <c r="F60">
        <v>1</v>
      </c>
      <c r="G60">
        <v>1</v>
      </c>
      <c r="H60">
        <v>3</v>
      </c>
      <c r="I60" t="s">
        <v>399</v>
      </c>
      <c r="J60" t="s">
        <v>400</v>
      </c>
      <c r="K60" t="s">
        <v>401</v>
      </c>
      <c r="L60">
        <v>1339</v>
      </c>
      <c r="N60">
        <v>1007</v>
      </c>
      <c r="O60" t="s">
        <v>33</v>
      </c>
      <c r="P60" t="s">
        <v>33</v>
      </c>
      <c r="Q60">
        <v>1</v>
      </c>
      <c r="X60">
        <v>0.82</v>
      </c>
      <c r="Y60">
        <v>485.9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6</v>
      </c>
      <c r="AG60">
        <v>0.82</v>
      </c>
      <c r="AH60">
        <v>2</v>
      </c>
      <c r="AI60">
        <v>67660363</v>
      </c>
      <c r="AJ60">
        <v>66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ROW(Source!A47)</f>
        <v>47</v>
      </c>
      <c r="B61">
        <v>67660364</v>
      </c>
      <c r="C61">
        <v>67660324</v>
      </c>
      <c r="D61">
        <v>49511871</v>
      </c>
      <c r="E61">
        <v>70</v>
      </c>
      <c r="F61">
        <v>1</v>
      </c>
      <c r="G61">
        <v>1</v>
      </c>
      <c r="H61">
        <v>3</v>
      </c>
      <c r="I61" t="s">
        <v>482</v>
      </c>
      <c r="J61" t="s">
        <v>6</v>
      </c>
      <c r="K61" t="s">
        <v>488</v>
      </c>
      <c r="L61">
        <v>1301</v>
      </c>
      <c r="N61">
        <v>1003</v>
      </c>
      <c r="O61" t="s">
        <v>86</v>
      </c>
      <c r="P61" t="s">
        <v>86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6</v>
      </c>
      <c r="AG61">
        <v>0</v>
      </c>
      <c r="AH61">
        <v>3</v>
      </c>
      <c r="AI61">
        <v>-1</v>
      </c>
      <c r="AJ61" t="s">
        <v>6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ROW(Source!A47)</f>
        <v>47</v>
      </c>
      <c r="B62">
        <v>67660365</v>
      </c>
      <c r="C62">
        <v>67660324</v>
      </c>
      <c r="D62">
        <v>49511895</v>
      </c>
      <c r="E62">
        <v>70</v>
      </c>
      <c r="F62">
        <v>1</v>
      </c>
      <c r="G62">
        <v>1</v>
      </c>
      <c r="H62">
        <v>3</v>
      </c>
      <c r="I62" t="s">
        <v>484</v>
      </c>
      <c r="J62" t="s">
        <v>6</v>
      </c>
      <c r="K62" t="s">
        <v>485</v>
      </c>
      <c r="L62">
        <v>1371</v>
      </c>
      <c r="N62">
        <v>1013</v>
      </c>
      <c r="O62" t="s">
        <v>99</v>
      </c>
      <c r="P62" t="s">
        <v>99</v>
      </c>
      <c r="Q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 t="s">
        <v>6</v>
      </c>
      <c r="AG62">
        <v>0</v>
      </c>
      <c r="AH62">
        <v>3</v>
      </c>
      <c r="AI62">
        <v>-1</v>
      </c>
      <c r="AJ62" t="s">
        <v>6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ROW(Source!A47)</f>
        <v>47</v>
      </c>
      <c r="B63">
        <v>67660366</v>
      </c>
      <c r="C63">
        <v>67660324</v>
      </c>
      <c r="D63">
        <v>49539501</v>
      </c>
      <c r="E63">
        <v>1</v>
      </c>
      <c r="F63">
        <v>1</v>
      </c>
      <c r="G63">
        <v>1</v>
      </c>
      <c r="H63">
        <v>3</v>
      </c>
      <c r="I63" t="s">
        <v>127</v>
      </c>
      <c r="J63" t="s">
        <v>130</v>
      </c>
      <c r="K63" t="s">
        <v>128</v>
      </c>
      <c r="L63">
        <v>1348</v>
      </c>
      <c r="N63">
        <v>1009</v>
      </c>
      <c r="O63" t="s">
        <v>129</v>
      </c>
      <c r="P63" t="s">
        <v>129</v>
      </c>
      <c r="Q63">
        <v>1000</v>
      </c>
      <c r="X63">
        <v>0</v>
      </c>
      <c r="Y63">
        <v>7571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 t="s">
        <v>6</v>
      </c>
      <c r="AG63">
        <v>0</v>
      </c>
      <c r="AH63">
        <v>2</v>
      </c>
      <c r="AI63">
        <v>67660366</v>
      </c>
      <c r="AJ63">
        <v>72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ROW(Source!A47)</f>
        <v>47</v>
      </c>
      <c r="B64">
        <v>67660367</v>
      </c>
      <c r="C64">
        <v>67660324</v>
      </c>
      <c r="D64">
        <v>49512776</v>
      </c>
      <c r="E64">
        <v>70</v>
      </c>
      <c r="F64">
        <v>1</v>
      </c>
      <c r="G64">
        <v>1</v>
      </c>
      <c r="H64">
        <v>3</v>
      </c>
      <c r="I64" t="s">
        <v>486</v>
      </c>
      <c r="J64" t="s">
        <v>6</v>
      </c>
      <c r="K64" t="s">
        <v>487</v>
      </c>
      <c r="L64">
        <v>1371</v>
      </c>
      <c r="N64">
        <v>1013</v>
      </c>
      <c r="O64" t="s">
        <v>99</v>
      </c>
      <c r="P64" t="s">
        <v>99</v>
      </c>
      <c r="Q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0</v>
      </c>
      <c r="AE64">
        <v>0</v>
      </c>
      <c r="AF64" t="s">
        <v>6</v>
      </c>
      <c r="AG64">
        <v>0</v>
      </c>
      <c r="AH64">
        <v>3</v>
      </c>
      <c r="AI64">
        <v>-1</v>
      </c>
      <c r="AJ64" t="s">
        <v>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ROW(Source!A57)</f>
        <v>57</v>
      </c>
      <c r="B65">
        <v>67643381</v>
      </c>
      <c r="C65">
        <v>67643355</v>
      </c>
      <c r="D65">
        <v>49510717</v>
      </c>
      <c r="E65">
        <v>70</v>
      </c>
      <c r="F65">
        <v>1</v>
      </c>
      <c r="G65">
        <v>1</v>
      </c>
      <c r="H65">
        <v>1</v>
      </c>
      <c r="I65" t="s">
        <v>402</v>
      </c>
      <c r="J65" t="s">
        <v>6</v>
      </c>
      <c r="K65" t="s">
        <v>403</v>
      </c>
      <c r="L65">
        <v>1191</v>
      </c>
      <c r="N65">
        <v>1013</v>
      </c>
      <c r="O65" t="s">
        <v>340</v>
      </c>
      <c r="P65" t="s">
        <v>340</v>
      </c>
      <c r="Q65">
        <v>1</v>
      </c>
      <c r="X65">
        <v>157</v>
      </c>
      <c r="Y65">
        <v>0</v>
      </c>
      <c r="Z65">
        <v>0</v>
      </c>
      <c r="AA65">
        <v>0</v>
      </c>
      <c r="AB65">
        <v>8.64</v>
      </c>
      <c r="AC65">
        <v>0</v>
      </c>
      <c r="AD65">
        <v>1</v>
      </c>
      <c r="AE65">
        <v>1</v>
      </c>
      <c r="AF65" t="s">
        <v>6</v>
      </c>
      <c r="AG65">
        <v>157</v>
      </c>
      <c r="AH65">
        <v>2</v>
      </c>
      <c r="AI65">
        <v>67643356</v>
      </c>
      <c r="AJ65">
        <v>74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ROW(Source!A57)</f>
        <v>57</v>
      </c>
      <c r="B66">
        <v>67643382</v>
      </c>
      <c r="C66">
        <v>67643355</v>
      </c>
      <c r="D66">
        <v>49510905</v>
      </c>
      <c r="E66">
        <v>70</v>
      </c>
      <c r="F66">
        <v>1</v>
      </c>
      <c r="G66">
        <v>1</v>
      </c>
      <c r="H66">
        <v>1</v>
      </c>
      <c r="I66" t="s">
        <v>341</v>
      </c>
      <c r="J66" t="s">
        <v>6</v>
      </c>
      <c r="K66" t="s">
        <v>342</v>
      </c>
      <c r="L66">
        <v>1191</v>
      </c>
      <c r="N66">
        <v>1013</v>
      </c>
      <c r="O66" t="s">
        <v>340</v>
      </c>
      <c r="P66" t="s">
        <v>340</v>
      </c>
      <c r="Q66">
        <v>1</v>
      </c>
      <c r="X66">
        <v>25.22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6</v>
      </c>
      <c r="AG66">
        <v>25.22</v>
      </c>
      <c r="AH66">
        <v>2</v>
      </c>
      <c r="AI66">
        <v>67643357</v>
      </c>
      <c r="AJ66">
        <v>75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ROW(Source!A57)</f>
        <v>57</v>
      </c>
      <c r="B67">
        <v>67643383</v>
      </c>
      <c r="C67">
        <v>67643355</v>
      </c>
      <c r="D67">
        <v>49672573</v>
      </c>
      <c r="E67">
        <v>1</v>
      </c>
      <c r="F67">
        <v>1</v>
      </c>
      <c r="G67">
        <v>1</v>
      </c>
      <c r="H67">
        <v>2</v>
      </c>
      <c r="I67" t="s">
        <v>361</v>
      </c>
      <c r="J67" t="s">
        <v>362</v>
      </c>
      <c r="K67" t="s">
        <v>363</v>
      </c>
      <c r="L67">
        <v>1367</v>
      </c>
      <c r="N67">
        <v>1011</v>
      </c>
      <c r="O67" t="s">
        <v>346</v>
      </c>
      <c r="P67" t="s">
        <v>346</v>
      </c>
      <c r="Q67">
        <v>1</v>
      </c>
      <c r="X67">
        <v>24.4</v>
      </c>
      <c r="Y67">
        <v>0</v>
      </c>
      <c r="Z67">
        <v>115.4</v>
      </c>
      <c r="AA67">
        <v>13.5</v>
      </c>
      <c r="AB67">
        <v>0</v>
      </c>
      <c r="AC67">
        <v>0</v>
      </c>
      <c r="AD67">
        <v>1</v>
      </c>
      <c r="AE67">
        <v>0</v>
      </c>
      <c r="AF67" t="s">
        <v>6</v>
      </c>
      <c r="AG67">
        <v>24.4</v>
      </c>
      <c r="AH67">
        <v>2</v>
      </c>
      <c r="AI67">
        <v>67643358</v>
      </c>
      <c r="AJ67">
        <v>76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ROW(Source!A57)</f>
        <v>57</v>
      </c>
      <c r="B68">
        <v>67643384</v>
      </c>
      <c r="C68">
        <v>67643355</v>
      </c>
      <c r="D68">
        <v>49672974</v>
      </c>
      <c r="E68">
        <v>1</v>
      </c>
      <c r="F68">
        <v>1</v>
      </c>
      <c r="G68">
        <v>1</v>
      </c>
      <c r="H68">
        <v>2</v>
      </c>
      <c r="I68" t="s">
        <v>372</v>
      </c>
      <c r="J68" t="s">
        <v>373</v>
      </c>
      <c r="K68" t="s">
        <v>374</v>
      </c>
      <c r="L68">
        <v>1367</v>
      </c>
      <c r="N68">
        <v>1011</v>
      </c>
      <c r="O68" t="s">
        <v>346</v>
      </c>
      <c r="P68" t="s">
        <v>346</v>
      </c>
      <c r="Q68">
        <v>1</v>
      </c>
      <c r="X68">
        <v>0.38</v>
      </c>
      <c r="Y68">
        <v>0</v>
      </c>
      <c r="Z68">
        <v>30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6</v>
      </c>
      <c r="AG68">
        <v>0.38</v>
      </c>
      <c r="AH68">
        <v>2</v>
      </c>
      <c r="AI68">
        <v>67643359</v>
      </c>
      <c r="AJ68">
        <v>77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ROW(Source!A57)</f>
        <v>57</v>
      </c>
      <c r="B69">
        <v>67643385</v>
      </c>
      <c r="C69">
        <v>67643355</v>
      </c>
      <c r="D69">
        <v>49673503</v>
      </c>
      <c r="E69">
        <v>1</v>
      </c>
      <c r="F69">
        <v>1</v>
      </c>
      <c r="G69">
        <v>1</v>
      </c>
      <c r="H69">
        <v>2</v>
      </c>
      <c r="I69" t="s">
        <v>364</v>
      </c>
      <c r="J69" t="s">
        <v>365</v>
      </c>
      <c r="K69" t="s">
        <v>366</v>
      </c>
      <c r="L69">
        <v>1367</v>
      </c>
      <c r="N69">
        <v>1011</v>
      </c>
      <c r="O69" t="s">
        <v>346</v>
      </c>
      <c r="P69" t="s">
        <v>346</v>
      </c>
      <c r="Q69">
        <v>1</v>
      </c>
      <c r="X69">
        <v>0.82</v>
      </c>
      <c r="Y69">
        <v>0</v>
      </c>
      <c r="Z69">
        <v>65.709999999999994</v>
      </c>
      <c r="AA69">
        <v>11.6</v>
      </c>
      <c r="AB69">
        <v>0</v>
      </c>
      <c r="AC69">
        <v>0</v>
      </c>
      <c r="AD69">
        <v>1</v>
      </c>
      <c r="AE69">
        <v>0</v>
      </c>
      <c r="AF69" t="s">
        <v>6</v>
      </c>
      <c r="AG69">
        <v>0.82</v>
      </c>
      <c r="AH69">
        <v>2</v>
      </c>
      <c r="AI69">
        <v>67643360</v>
      </c>
      <c r="AJ69">
        <v>78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ROW(Source!A57)</f>
        <v>57</v>
      </c>
      <c r="B70">
        <v>67643386</v>
      </c>
      <c r="C70">
        <v>67643355</v>
      </c>
      <c r="D70">
        <v>49521312</v>
      </c>
      <c r="E70">
        <v>1</v>
      </c>
      <c r="F70">
        <v>1</v>
      </c>
      <c r="G70">
        <v>1</v>
      </c>
      <c r="H70">
        <v>3</v>
      </c>
      <c r="I70" t="s">
        <v>404</v>
      </c>
      <c r="J70" t="s">
        <v>405</v>
      </c>
      <c r="K70" t="s">
        <v>406</v>
      </c>
      <c r="L70">
        <v>1348</v>
      </c>
      <c r="N70">
        <v>1009</v>
      </c>
      <c r="O70" t="s">
        <v>129</v>
      </c>
      <c r="P70" t="s">
        <v>129</v>
      </c>
      <c r="Q70">
        <v>1000</v>
      </c>
      <c r="X70">
        <v>0.05</v>
      </c>
      <c r="Y70">
        <v>1596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6</v>
      </c>
      <c r="AG70">
        <v>0.05</v>
      </c>
      <c r="AH70">
        <v>2</v>
      </c>
      <c r="AI70">
        <v>67643361</v>
      </c>
      <c r="AJ70">
        <v>79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ROW(Source!A57)</f>
        <v>57</v>
      </c>
      <c r="B71">
        <v>67643387</v>
      </c>
      <c r="C71">
        <v>67643355</v>
      </c>
      <c r="D71">
        <v>49521570</v>
      </c>
      <c r="E71">
        <v>1</v>
      </c>
      <c r="F71">
        <v>1</v>
      </c>
      <c r="G71">
        <v>1</v>
      </c>
      <c r="H71">
        <v>3</v>
      </c>
      <c r="I71" t="s">
        <v>378</v>
      </c>
      <c r="J71" t="s">
        <v>379</v>
      </c>
      <c r="K71" t="s">
        <v>380</v>
      </c>
      <c r="L71">
        <v>1348</v>
      </c>
      <c r="N71">
        <v>1009</v>
      </c>
      <c r="O71" t="s">
        <v>129</v>
      </c>
      <c r="P71" t="s">
        <v>129</v>
      </c>
      <c r="Q71">
        <v>1000</v>
      </c>
      <c r="X71">
        <v>8.9999999999999993E-3</v>
      </c>
      <c r="Y71">
        <v>4041.7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6</v>
      </c>
      <c r="AG71">
        <v>8.9999999999999993E-3</v>
      </c>
      <c r="AH71">
        <v>2</v>
      </c>
      <c r="AI71">
        <v>67643362</v>
      </c>
      <c r="AJ71">
        <v>80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ROW(Source!A57)</f>
        <v>57</v>
      </c>
      <c r="B72">
        <v>67643388</v>
      </c>
      <c r="C72">
        <v>67643355</v>
      </c>
      <c r="D72">
        <v>49523203</v>
      </c>
      <c r="E72">
        <v>1</v>
      </c>
      <c r="F72">
        <v>1</v>
      </c>
      <c r="G72">
        <v>1</v>
      </c>
      <c r="H72">
        <v>3</v>
      </c>
      <c r="I72" t="s">
        <v>367</v>
      </c>
      <c r="J72" t="s">
        <v>368</v>
      </c>
      <c r="K72" t="s">
        <v>369</v>
      </c>
      <c r="L72">
        <v>1339</v>
      </c>
      <c r="N72">
        <v>1007</v>
      </c>
      <c r="O72" t="s">
        <v>33</v>
      </c>
      <c r="P72" t="s">
        <v>33</v>
      </c>
      <c r="Q72">
        <v>1</v>
      </c>
      <c r="X72">
        <v>6.9999999999999999E-4</v>
      </c>
      <c r="Y72">
        <v>2.44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6</v>
      </c>
      <c r="AG72">
        <v>6.9999999999999999E-4</v>
      </c>
      <c r="AH72">
        <v>2</v>
      </c>
      <c r="AI72">
        <v>67643363</v>
      </c>
      <c r="AJ72">
        <v>81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ROW(Source!A57)</f>
        <v>57</v>
      </c>
      <c r="B73">
        <v>67643389</v>
      </c>
      <c r="C73">
        <v>67643355</v>
      </c>
      <c r="D73">
        <v>49523843</v>
      </c>
      <c r="E73">
        <v>1</v>
      </c>
      <c r="F73">
        <v>1</v>
      </c>
      <c r="G73">
        <v>1</v>
      </c>
      <c r="H73">
        <v>3</v>
      </c>
      <c r="I73" t="s">
        <v>381</v>
      </c>
      <c r="J73" t="s">
        <v>382</v>
      </c>
      <c r="K73" t="s">
        <v>383</v>
      </c>
      <c r="L73">
        <v>1348</v>
      </c>
      <c r="N73">
        <v>1009</v>
      </c>
      <c r="O73" t="s">
        <v>129</v>
      </c>
      <c r="P73" t="s">
        <v>129</v>
      </c>
      <c r="Q73">
        <v>1000</v>
      </c>
      <c r="X73">
        <v>0.02</v>
      </c>
      <c r="Y73">
        <v>30030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6</v>
      </c>
      <c r="AG73">
        <v>0.02</v>
      </c>
      <c r="AH73">
        <v>2</v>
      </c>
      <c r="AI73">
        <v>67643364</v>
      </c>
      <c r="AJ73">
        <v>82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ROW(Source!A57)</f>
        <v>57</v>
      </c>
      <c r="B74">
        <v>67643390</v>
      </c>
      <c r="C74">
        <v>67643355</v>
      </c>
      <c r="D74">
        <v>49525587</v>
      </c>
      <c r="E74">
        <v>1</v>
      </c>
      <c r="F74">
        <v>1</v>
      </c>
      <c r="G74">
        <v>1</v>
      </c>
      <c r="H74">
        <v>3</v>
      </c>
      <c r="I74" t="s">
        <v>407</v>
      </c>
      <c r="J74" t="s">
        <v>408</v>
      </c>
      <c r="K74" t="s">
        <v>409</v>
      </c>
      <c r="L74">
        <v>1348</v>
      </c>
      <c r="N74">
        <v>1009</v>
      </c>
      <c r="O74" t="s">
        <v>129</v>
      </c>
      <c r="P74" t="s">
        <v>129</v>
      </c>
      <c r="Q74">
        <v>1000</v>
      </c>
      <c r="X74">
        <v>2.0000000000000001E-4</v>
      </c>
      <c r="Y74">
        <v>11978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6</v>
      </c>
      <c r="AG74">
        <v>2.0000000000000001E-4</v>
      </c>
      <c r="AH74">
        <v>2</v>
      </c>
      <c r="AI74">
        <v>67643365</v>
      </c>
      <c r="AJ74">
        <v>83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ROW(Source!A57)</f>
        <v>57</v>
      </c>
      <c r="B75">
        <v>67643391</v>
      </c>
      <c r="C75">
        <v>67643355</v>
      </c>
      <c r="D75">
        <v>49525778</v>
      </c>
      <c r="E75">
        <v>1</v>
      </c>
      <c r="F75">
        <v>1</v>
      </c>
      <c r="G75">
        <v>1</v>
      </c>
      <c r="H75">
        <v>3</v>
      </c>
      <c r="I75" t="s">
        <v>410</v>
      </c>
      <c r="J75" t="s">
        <v>411</v>
      </c>
      <c r="K75" t="s">
        <v>412</v>
      </c>
      <c r="L75">
        <v>1371</v>
      </c>
      <c r="N75">
        <v>1013</v>
      </c>
      <c r="O75" t="s">
        <v>99</v>
      </c>
      <c r="P75" t="s">
        <v>99</v>
      </c>
      <c r="Q75">
        <v>1</v>
      </c>
      <c r="X75">
        <v>38.799999999999997</v>
      </c>
      <c r="Y75">
        <v>6.55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6</v>
      </c>
      <c r="AG75">
        <v>38.799999999999997</v>
      </c>
      <c r="AH75">
        <v>2</v>
      </c>
      <c r="AI75">
        <v>67643366</v>
      </c>
      <c r="AJ75">
        <v>84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ROW(Source!A57)</f>
        <v>57</v>
      </c>
      <c r="B76">
        <v>67643392</v>
      </c>
      <c r="C76">
        <v>67643355</v>
      </c>
      <c r="D76">
        <v>49527726</v>
      </c>
      <c r="E76">
        <v>1</v>
      </c>
      <c r="F76">
        <v>1</v>
      </c>
      <c r="G76">
        <v>1</v>
      </c>
      <c r="H76">
        <v>3</v>
      </c>
      <c r="I76" t="s">
        <v>413</v>
      </c>
      <c r="J76" t="s">
        <v>414</v>
      </c>
      <c r="K76" t="s">
        <v>415</v>
      </c>
      <c r="L76">
        <v>1348</v>
      </c>
      <c r="N76">
        <v>1009</v>
      </c>
      <c r="O76" t="s">
        <v>129</v>
      </c>
      <c r="P76" t="s">
        <v>129</v>
      </c>
      <c r="Q76">
        <v>1000</v>
      </c>
      <c r="X76">
        <v>2.5000000000000001E-4</v>
      </c>
      <c r="Y76">
        <v>734.5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6</v>
      </c>
      <c r="AG76">
        <v>2.5000000000000001E-4</v>
      </c>
      <c r="AH76">
        <v>2</v>
      </c>
      <c r="AI76">
        <v>67643367</v>
      </c>
      <c r="AJ76">
        <v>85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ROW(Source!A57)</f>
        <v>57</v>
      </c>
      <c r="B77">
        <v>67643393</v>
      </c>
      <c r="C77">
        <v>67643355</v>
      </c>
      <c r="D77">
        <v>49527747</v>
      </c>
      <c r="E77">
        <v>1</v>
      </c>
      <c r="F77">
        <v>1</v>
      </c>
      <c r="G77">
        <v>1</v>
      </c>
      <c r="H77">
        <v>3</v>
      </c>
      <c r="I77" t="s">
        <v>387</v>
      </c>
      <c r="J77" t="s">
        <v>388</v>
      </c>
      <c r="K77" t="s">
        <v>389</v>
      </c>
      <c r="L77">
        <v>1348</v>
      </c>
      <c r="N77">
        <v>1009</v>
      </c>
      <c r="O77" t="s">
        <v>129</v>
      </c>
      <c r="P77" t="s">
        <v>129</v>
      </c>
      <c r="Q77">
        <v>1000</v>
      </c>
      <c r="X77">
        <v>7.1000000000000004E-3</v>
      </c>
      <c r="Y77">
        <v>412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6</v>
      </c>
      <c r="AG77">
        <v>7.1000000000000004E-3</v>
      </c>
      <c r="AH77">
        <v>2</v>
      </c>
      <c r="AI77">
        <v>67643368</v>
      </c>
      <c r="AJ77">
        <v>86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ROW(Source!A57)</f>
        <v>57</v>
      </c>
      <c r="B78">
        <v>67643394</v>
      </c>
      <c r="C78">
        <v>67643355</v>
      </c>
      <c r="D78">
        <v>49528283</v>
      </c>
      <c r="E78">
        <v>1</v>
      </c>
      <c r="F78">
        <v>1</v>
      </c>
      <c r="G78">
        <v>1</v>
      </c>
      <c r="H78">
        <v>3</v>
      </c>
      <c r="I78" t="s">
        <v>390</v>
      </c>
      <c r="J78" t="s">
        <v>391</v>
      </c>
      <c r="K78" t="s">
        <v>392</v>
      </c>
      <c r="L78">
        <v>1339</v>
      </c>
      <c r="N78">
        <v>1007</v>
      </c>
      <c r="O78" t="s">
        <v>33</v>
      </c>
      <c r="P78" t="s">
        <v>33</v>
      </c>
      <c r="Q78">
        <v>1</v>
      </c>
      <c r="X78">
        <v>1.41</v>
      </c>
      <c r="Y78">
        <v>545.6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6</v>
      </c>
      <c r="AG78">
        <v>1.41</v>
      </c>
      <c r="AH78">
        <v>2</v>
      </c>
      <c r="AI78">
        <v>67643369</v>
      </c>
      <c r="AJ78">
        <v>87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ROW(Source!A57)</f>
        <v>57</v>
      </c>
      <c r="B79">
        <v>67643395</v>
      </c>
      <c r="C79">
        <v>67643355</v>
      </c>
      <c r="D79">
        <v>49528288</v>
      </c>
      <c r="E79">
        <v>1</v>
      </c>
      <c r="F79">
        <v>1</v>
      </c>
      <c r="G79">
        <v>1</v>
      </c>
      <c r="H79">
        <v>3</v>
      </c>
      <c r="I79" t="s">
        <v>102</v>
      </c>
      <c r="J79" t="s">
        <v>104</v>
      </c>
      <c r="K79" t="s">
        <v>103</v>
      </c>
      <c r="L79">
        <v>1339</v>
      </c>
      <c r="N79">
        <v>1007</v>
      </c>
      <c r="O79" t="s">
        <v>33</v>
      </c>
      <c r="P79" t="s">
        <v>33</v>
      </c>
      <c r="Q79">
        <v>1</v>
      </c>
      <c r="X79">
        <v>0.9</v>
      </c>
      <c r="Y79">
        <v>592.76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6</v>
      </c>
      <c r="AG79">
        <v>0.9</v>
      </c>
      <c r="AH79">
        <v>2</v>
      </c>
      <c r="AI79">
        <v>67643370</v>
      </c>
      <c r="AJ79">
        <v>88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ROW(Source!A57)</f>
        <v>57</v>
      </c>
      <c r="B80">
        <v>67643396</v>
      </c>
      <c r="C80">
        <v>67643355</v>
      </c>
      <c r="D80">
        <v>49528386</v>
      </c>
      <c r="E80">
        <v>1</v>
      </c>
      <c r="F80">
        <v>1</v>
      </c>
      <c r="G80">
        <v>1</v>
      </c>
      <c r="H80">
        <v>3</v>
      </c>
      <c r="I80" t="s">
        <v>393</v>
      </c>
      <c r="J80" t="s">
        <v>394</v>
      </c>
      <c r="K80" t="s">
        <v>395</v>
      </c>
      <c r="L80">
        <v>1348</v>
      </c>
      <c r="N80">
        <v>1009</v>
      </c>
      <c r="O80" t="s">
        <v>129</v>
      </c>
      <c r="P80" t="s">
        <v>129</v>
      </c>
      <c r="Q80">
        <v>1000</v>
      </c>
      <c r="X80">
        <v>0.24</v>
      </c>
      <c r="Y80">
        <v>491.01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6</v>
      </c>
      <c r="AG80">
        <v>0.24</v>
      </c>
      <c r="AH80">
        <v>2</v>
      </c>
      <c r="AI80">
        <v>67643371</v>
      </c>
      <c r="AJ80">
        <v>90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ROW(Source!A57)</f>
        <v>57</v>
      </c>
      <c r="B81">
        <v>67643397</v>
      </c>
      <c r="C81">
        <v>67643355</v>
      </c>
      <c r="D81">
        <v>49528500</v>
      </c>
      <c r="E81">
        <v>1</v>
      </c>
      <c r="F81">
        <v>1</v>
      </c>
      <c r="G81">
        <v>1</v>
      </c>
      <c r="H81">
        <v>3</v>
      </c>
      <c r="I81" t="s">
        <v>396</v>
      </c>
      <c r="J81" t="s">
        <v>397</v>
      </c>
      <c r="K81" t="s">
        <v>398</v>
      </c>
      <c r="L81">
        <v>1339</v>
      </c>
      <c r="N81">
        <v>1007</v>
      </c>
      <c r="O81" t="s">
        <v>33</v>
      </c>
      <c r="P81" t="s">
        <v>33</v>
      </c>
      <c r="Q81">
        <v>1</v>
      </c>
      <c r="X81">
        <v>4.4999999999999998E-2</v>
      </c>
      <c r="Y81">
        <v>395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6</v>
      </c>
      <c r="AG81">
        <v>4.4999999999999998E-2</v>
      </c>
      <c r="AH81">
        <v>2</v>
      </c>
      <c r="AI81">
        <v>67643372</v>
      </c>
      <c r="AJ81">
        <v>91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ROW(Source!A57)</f>
        <v>57</v>
      </c>
      <c r="B82">
        <v>67643398</v>
      </c>
      <c r="C82">
        <v>67643355</v>
      </c>
      <c r="D82">
        <v>49528527</v>
      </c>
      <c r="E82">
        <v>1</v>
      </c>
      <c r="F82">
        <v>1</v>
      </c>
      <c r="G82">
        <v>1</v>
      </c>
      <c r="H82">
        <v>3</v>
      </c>
      <c r="I82" t="s">
        <v>416</v>
      </c>
      <c r="J82" t="s">
        <v>417</v>
      </c>
      <c r="K82" t="s">
        <v>418</v>
      </c>
      <c r="L82">
        <v>1339</v>
      </c>
      <c r="N82">
        <v>1007</v>
      </c>
      <c r="O82" t="s">
        <v>33</v>
      </c>
      <c r="P82" t="s">
        <v>33</v>
      </c>
      <c r="Q82">
        <v>1</v>
      </c>
      <c r="X82">
        <v>0.4</v>
      </c>
      <c r="Y82">
        <v>519.79999999999995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6</v>
      </c>
      <c r="AG82">
        <v>0.4</v>
      </c>
      <c r="AH82">
        <v>2</v>
      </c>
      <c r="AI82">
        <v>67643373</v>
      </c>
      <c r="AJ82">
        <v>92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ROW(Source!A57)</f>
        <v>57</v>
      </c>
      <c r="B83">
        <v>67643399</v>
      </c>
      <c r="C83">
        <v>67643355</v>
      </c>
      <c r="D83">
        <v>49511866</v>
      </c>
      <c r="E83">
        <v>70</v>
      </c>
      <c r="F83">
        <v>1</v>
      </c>
      <c r="G83">
        <v>1</v>
      </c>
      <c r="H83">
        <v>3</v>
      </c>
      <c r="I83" t="s">
        <v>482</v>
      </c>
      <c r="J83" t="s">
        <v>6</v>
      </c>
      <c r="K83" t="s">
        <v>489</v>
      </c>
      <c r="L83">
        <v>1301</v>
      </c>
      <c r="N83">
        <v>1003</v>
      </c>
      <c r="O83" t="s">
        <v>86</v>
      </c>
      <c r="P83" t="s">
        <v>86</v>
      </c>
      <c r="Q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0</v>
      </c>
      <c r="AF83" t="s">
        <v>6</v>
      </c>
      <c r="AG83">
        <v>0</v>
      </c>
      <c r="AH83">
        <v>3</v>
      </c>
      <c r="AI83">
        <v>-1</v>
      </c>
      <c r="AJ83" t="s">
        <v>6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ROW(Source!A57)</f>
        <v>57</v>
      </c>
      <c r="B84">
        <v>67643400</v>
      </c>
      <c r="C84">
        <v>67643355</v>
      </c>
      <c r="D84">
        <v>49511887</v>
      </c>
      <c r="E84">
        <v>70</v>
      </c>
      <c r="F84">
        <v>1</v>
      </c>
      <c r="G84">
        <v>1</v>
      </c>
      <c r="H84">
        <v>3</v>
      </c>
      <c r="I84" t="s">
        <v>484</v>
      </c>
      <c r="J84" t="s">
        <v>6</v>
      </c>
      <c r="K84" t="s">
        <v>485</v>
      </c>
      <c r="L84">
        <v>1371</v>
      </c>
      <c r="N84">
        <v>1013</v>
      </c>
      <c r="O84" t="s">
        <v>99</v>
      </c>
      <c r="P84" t="s">
        <v>99</v>
      </c>
      <c r="Q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0</v>
      </c>
      <c r="AE84">
        <v>0</v>
      </c>
      <c r="AF84" t="s">
        <v>6</v>
      </c>
      <c r="AG84">
        <v>0</v>
      </c>
      <c r="AH84">
        <v>3</v>
      </c>
      <c r="AI84">
        <v>-1</v>
      </c>
      <c r="AJ84" t="s">
        <v>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ROW(Source!A57)</f>
        <v>57</v>
      </c>
      <c r="B85">
        <v>67643401</v>
      </c>
      <c r="C85">
        <v>67643355</v>
      </c>
      <c r="D85">
        <v>49541181</v>
      </c>
      <c r="E85">
        <v>1</v>
      </c>
      <c r="F85">
        <v>1</v>
      </c>
      <c r="G85">
        <v>1</v>
      </c>
      <c r="H85">
        <v>3</v>
      </c>
      <c r="I85" t="s">
        <v>176</v>
      </c>
      <c r="J85" t="s">
        <v>178</v>
      </c>
      <c r="K85" t="s">
        <v>177</v>
      </c>
      <c r="L85">
        <v>1371</v>
      </c>
      <c r="N85">
        <v>1013</v>
      </c>
      <c r="O85" t="s">
        <v>99</v>
      </c>
      <c r="P85" t="s">
        <v>99</v>
      </c>
      <c r="Q85">
        <v>1</v>
      </c>
      <c r="X85">
        <v>0</v>
      </c>
      <c r="Y85">
        <v>592.20000000000005</v>
      </c>
      <c r="Z85">
        <v>0</v>
      </c>
      <c r="AA85">
        <v>0</v>
      </c>
      <c r="AB85">
        <v>0</v>
      </c>
      <c r="AC85">
        <v>1</v>
      </c>
      <c r="AD85">
        <v>0</v>
      </c>
      <c r="AE85">
        <v>0</v>
      </c>
      <c r="AF85" t="s">
        <v>6</v>
      </c>
      <c r="AG85">
        <v>0</v>
      </c>
      <c r="AH85">
        <v>2</v>
      </c>
      <c r="AI85">
        <v>67643376</v>
      </c>
      <c r="AJ85">
        <v>96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ROW(Source!A57)</f>
        <v>57</v>
      </c>
      <c r="B86">
        <v>67643402</v>
      </c>
      <c r="C86">
        <v>67643355</v>
      </c>
      <c r="D86">
        <v>49546817</v>
      </c>
      <c r="E86">
        <v>1</v>
      </c>
      <c r="F86">
        <v>1</v>
      </c>
      <c r="G86">
        <v>1</v>
      </c>
      <c r="H86">
        <v>3</v>
      </c>
      <c r="I86" t="s">
        <v>419</v>
      </c>
      <c r="J86" t="s">
        <v>420</v>
      </c>
      <c r="K86" t="s">
        <v>421</v>
      </c>
      <c r="L86">
        <v>1339</v>
      </c>
      <c r="N86">
        <v>1007</v>
      </c>
      <c r="O86" t="s">
        <v>33</v>
      </c>
      <c r="P86" t="s">
        <v>33</v>
      </c>
      <c r="Q86">
        <v>1</v>
      </c>
      <c r="X86">
        <v>1.6E-2</v>
      </c>
      <c r="Y86">
        <v>1155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6</v>
      </c>
      <c r="AG86">
        <v>1.6E-2</v>
      </c>
      <c r="AH86">
        <v>2</v>
      </c>
      <c r="AI86">
        <v>67643377</v>
      </c>
      <c r="AJ86">
        <v>97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ROW(Source!A64)</f>
        <v>64</v>
      </c>
      <c r="B87">
        <v>67667261</v>
      </c>
      <c r="C87">
        <v>67667260</v>
      </c>
      <c r="D87">
        <v>49510737</v>
      </c>
      <c r="E87">
        <v>70</v>
      </c>
      <c r="F87">
        <v>1</v>
      </c>
      <c r="G87">
        <v>1</v>
      </c>
      <c r="H87">
        <v>1</v>
      </c>
      <c r="I87" t="s">
        <v>359</v>
      </c>
      <c r="J87" t="s">
        <v>6</v>
      </c>
      <c r="K87" t="s">
        <v>360</v>
      </c>
      <c r="L87">
        <v>1191</v>
      </c>
      <c r="N87">
        <v>1013</v>
      </c>
      <c r="O87" t="s">
        <v>340</v>
      </c>
      <c r="P87" t="s">
        <v>340</v>
      </c>
      <c r="Q87">
        <v>1</v>
      </c>
      <c r="X87">
        <v>19.7</v>
      </c>
      <c r="Y87">
        <v>0</v>
      </c>
      <c r="Z87">
        <v>0</v>
      </c>
      <c r="AA87">
        <v>0</v>
      </c>
      <c r="AB87">
        <v>9.18</v>
      </c>
      <c r="AC87">
        <v>0</v>
      </c>
      <c r="AD87">
        <v>1</v>
      </c>
      <c r="AE87">
        <v>1</v>
      </c>
      <c r="AF87" t="s">
        <v>6</v>
      </c>
      <c r="AG87">
        <v>19.7</v>
      </c>
      <c r="AH87">
        <v>2</v>
      </c>
      <c r="AI87">
        <v>67667261</v>
      </c>
      <c r="AJ87">
        <v>98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ROW(Source!A64)</f>
        <v>64</v>
      </c>
      <c r="B88">
        <v>67667262</v>
      </c>
      <c r="C88">
        <v>67667260</v>
      </c>
      <c r="D88">
        <v>49510905</v>
      </c>
      <c r="E88">
        <v>70</v>
      </c>
      <c r="F88">
        <v>1</v>
      </c>
      <c r="G88">
        <v>1</v>
      </c>
      <c r="H88">
        <v>1</v>
      </c>
      <c r="I88" t="s">
        <v>341</v>
      </c>
      <c r="J88" t="s">
        <v>6</v>
      </c>
      <c r="K88" t="s">
        <v>342</v>
      </c>
      <c r="L88">
        <v>1191</v>
      </c>
      <c r="N88">
        <v>1013</v>
      </c>
      <c r="O88" t="s">
        <v>340</v>
      </c>
      <c r="P88" t="s">
        <v>340</v>
      </c>
      <c r="Q88">
        <v>1</v>
      </c>
      <c r="X88">
        <v>0.85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6</v>
      </c>
      <c r="AG88">
        <v>0.85</v>
      </c>
      <c r="AH88">
        <v>2</v>
      </c>
      <c r="AI88">
        <v>67667262</v>
      </c>
      <c r="AJ88">
        <v>99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ROW(Source!A64)</f>
        <v>64</v>
      </c>
      <c r="B89">
        <v>67667263</v>
      </c>
      <c r="C89">
        <v>67667260</v>
      </c>
      <c r="D89">
        <v>49672584</v>
      </c>
      <c r="E89">
        <v>1</v>
      </c>
      <c r="F89">
        <v>1</v>
      </c>
      <c r="G89">
        <v>1</v>
      </c>
      <c r="H89">
        <v>2</v>
      </c>
      <c r="I89" t="s">
        <v>422</v>
      </c>
      <c r="J89" t="s">
        <v>423</v>
      </c>
      <c r="K89" t="s">
        <v>424</v>
      </c>
      <c r="L89">
        <v>1367</v>
      </c>
      <c r="N89">
        <v>1011</v>
      </c>
      <c r="O89" t="s">
        <v>346</v>
      </c>
      <c r="P89" t="s">
        <v>346</v>
      </c>
      <c r="Q89">
        <v>1</v>
      </c>
      <c r="X89">
        <v>0.28000000000000003</v>
      </c>
      <c r="Y89">
        <v>0</v>
      </c>
      <c r="Z89">
        <v>96.89</v>
      </c>
      <c r="AA89">
        <v>13.5</v>
      </c>
      <c r="AB89">
        <v>0</v>
      </c>
      <c r="AC89">
        <v>0</v>
      </c>
      <c r="AD89">
        <v>1</v>
      </c>
      <c r="AE89">
        <v>0</v>
      </c>
      <c r="AF89" t="s">
        <v>6</v>
      </c>
      <c r="AG89">
        <v>0.28000000000000003</v>
      </c>
      <c r="AH89">
        <v>2</v>
      </c>
      <c r="AI89">
        <v>67667263</v>
      </c>
      <c r="AJ89">
        <v>100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ROW(Source!A64)</f>
        <v>64</v>
      </c>
      <c r="B90">
        <v>67667264</v>
      </c>
      <c r="C90">
        <v>67667260</v>
      </c>
      <c r="D90">
        <v>49672600</v>
      </c>
      <c r="E90">
        <v>1</v>
      </c>
      <c r="F90">
        <v>1</v>
      </c>
      <c r="G90">
        <v>1</v>
      </c>
      <c r="H90">
        <v>2</v>
      </c>
      <c r="I90" t="s">
        <v>425</v>
      </c>
      <c r="J90" t="s">
        <v>426</v>
      </c>
      <c r="K90" t="s">
        <v>427</v>
      </c>
      <c r="L90">
        <v>1367</v>
      </c>
      <c r="N90">
        <v>1011</v>
      </c>
      <c r="O90" t="s">
        <v>346</v>
      </c>
      <c r="P90" t="s">
        <v>346</v>
      </c>
      <c r="Q90">
        <v>1</v>
      </c>
      <c r="X90">
        <v>0.34</v>
      </c>
      <c r="Y90">
        <v>0</v>
      </c>
      <c r="Z90">
        <v>131.16</v>
      </c>
      <c r="AA90">
        <v>13.5</v>
      </c>
      <c r="AB90">
        <v>0</v>
      </c>
      <c r="AC90">
        <v>0</v>
      </c>
      <c r="AD90">
        <v>1</v>
      </c>
      <c r="AE90">
        <v>0</v>
      </c>
      <c r="AF90" t="s">
        <v>6</v>
      </c>
      <c r="AG90">
        <v>0.34</v>
      </c>
      <c r="AH90">
        <v>2</v>
      </c>
      <c r="AI90">
        <v>67667264</v>
      </c>
      <c r="AJ90">
        <v>101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ROW(Source!A64)</f>
        <v>64</v>
      </c>
      <c r="B91">
        <v>67667265</v>
      </c>
      <c r="C91">
        <v>67667260</v>
      </c>
      <c r="D91">
        <v>49673503</v>
      </c>
      <c r="E91">
        <v>1</v>
      </c>
      <c r="F91">
        <v>1</v>
      </c>
      <c r="G91">
        <v>1</v>
      </c>
      <c r="H91">
        <v>2</v>
      </c>
      <c r="I91" t="s">
        <v>364</v>
      </c>
      <c r="J91" t="s">
        <v>365</v>
      </c>
      <c r="K91" t="s">
        <v>366</v>
      </c>
      <c r="L91">
        <v>1367</v>
      </c>
      <c r="N91">
        <v>1011</v>
      </c>
      <c r="O91" t="s">
        <v>346</v>
      </c>
      <c r="P91" t="s">
        <v>346</v>
      </c>
      <c r="Q91">
        <v>1</v>
      </c>
      <c r="X91">
        <v>0.23</v>
      </c>
      <c r="Y91">
        <v>0</v>
      </c>
      <c r="Z91">
        <v>65.709999999999994</v>
      </c>
      <c r="AA91">
        <v>11.6</v>
      </c>
      <c r="AB91">
        <v>0</v>
      </c>
      <c r="AC91">
        <v>0</v>
      </c>
      <c r="AD91">
        <v>1</v>
      </c>
      <c r="AE91">
        <v>0</v>
      </c>
      <c r="AF91" t="s">
        <v>6</v>
      </c>
      <c r="AG91">
        <v>0.23</v>
      </c>
      <c r="AH91">
        <v>2</v>
      </c>
      <c r="AI91">
        <v>67667265</v>
      </c>
      <c r="AJ91">
        <v>102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ROW(Source!A64)</f>
        <v>64</v>
      </c>
      <c r="B92">
        <v>67667266</v>
      </c>
      <c r="C92">
        <v>67667260</v>
      </c>
      <c r="D92">
        <v>49673658</v>
      </c>
      <c r="E92">
        <v>1</v>
      </c>
      <c r="F92">
        <v>1</v>
      </c>
      <c r="G92">
        <v>1</v>
      </c>
      <c r="H92">
        <v>2</v>
      </c>
      <c r="I92" t="s">
        <v>428</v>
      </c>
      <c r="J92" t="s">
        <v>429</v>
      </c>
      <c r="K92" t="s">
        <v>430</v>
      </c>
      <c r="L92">
        <v>1367</v>
      </c>
      <c r="N92">
        <v>1011</v>
      </c>
      <c r="O92" t="s">
        <v>346</v>
      </c>
      <c r="P92" t="s">
        <v>346</v>
      </c>
      <c r="Q92">
        <v>1</v>
      </c>
      <c r="X92">
        <v>0.15</v>
      </c>
      <c r="Y92">
        <v>0</v>
      </c>
      <c r="Z92">
        <v>1.2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6</v>
      </c>
      <c r="AG92">
        <v>0.15</v>
      </c>
      <c r="AH92">
        <v>2</v>
      </c>
      <c r="AI92">
        <v>67667266</v>
      </c>
      <c r="AJ92">
        <v>103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ROW(Source!A64)</f>
        <v>64</v>
      </c>
      <c r="B93">
        <v>67667267</v>
      </c>
      <c r="C93">
        <v>67667260</v>
      </c>
      <c r="D93">
        <v>49673715</v>
      </c>
      <c r="E93">
        <v>1</v>
      </c>
      <c r="F93">
        <v>1</v>
      </c>
      <c r="G93">
        <v>1</v>
      </c>
      <c r="H93">
        <v>2</v>
      </c>
      <c r="I93" t="s">
        <v>431</v>
      </c>
      <c r="J93" t="s">
        <v>432</v>
      </c>
      <c r="K93" t="s">
        <v>433</v>
      </c>
      <c r="L93">
        <v>1367</v>
      </c>
      <c r="N93">
        <v>1011</v>
      </c>
      <c r="O93" t="s">
        <v>346</v>
      </c>
      <c r="P93" t="s">
        <v>346</v>
      </c>
      <c r="Q93">
        <v>1</v>
      </c>
      <c r="X93">
        <v>2.52</v>
      </c>
      <c r="Y93">
        <v>0</v>
      </c>
      <c r="Z93">
        <v>8.1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6</v>
      </c>
      <c r="AG93">
        <v>2.52</v>
      </c>
      <c r="AH93">
        <v>2</v>
      </c>
      <c r="AI93">
        <v>67667267</v>
      </c>
      <c r="AJ93">
        <v>104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ROW(Source!A64)</f>
        <v>64</v>
      </c>
      <c r="B94">
        <v>67667268</v>
      </c>
      <c r="C94">
        <v>67667260</v>
      </c>
      <c r="D94">
        <v>49521602</v>
      </c>
      <c r="E94">
        <v>1</v>
      </c>
      <c r="F94">
        <v>1</v>
      </c>
      <c r="G94">
        <v>1</v>
      </c>
      <c r="H94">
        <v>3</v>
      </c>
      <c r="I94" t="s">
        <v>434</v>
      </c>
      <c r="J94" t="s">
        <v>435</v>
      </c>
      <c r="K94" t="s">
        <v>436</v>
      </c>
      <c r="L94">
        <v>1339</v>
      </c>
      <c r="N94">
        <v>1007</v>
      </c>
      <c r="O94" t="s">
        <v>33</v>
      </c>
      <c r="P94" t="s">
        <v>33</v>
      </c>
      <c r="Q94">
        <v>1</v>
      </c>
      <c r="X94">
        <v>1.4</v>
      </c>
      <c r="Y94">
        <v>6.22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6</v>
      </c>
      <c r="AG94">
        <v>1.4</v>
      </c>
      <c r="AH94">
        <v>2</v>
      </c>
      <c r="AI94">
        <v>67667268</v>
      </c>
      <c r="AJ94">
        <v>105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ROW(Source!A64)</f>
        <v>64</v>
      </c>
      <c r="B95">
        <v>67667269</v>
      </c>
      <c r="C95">
        <v>67667260</v>
      </c>
      <c r="D95">
        <v>49521608</v>
      </c>
      <c r="E95">
        <v>1</v>
      </c>
      <c r="F95">
        <v>1</v>
      </c>
      <c r="G95">
        <v>1</v>
      </c>
      <c r="H95">
        <v>3</v>
      </c>
      <c r="I95" t="s">
        <v>437</v>
      </c>
      <c r="J95" t="s">
        <v>438</v>
      </c>
      <c r="K95" t="s">
        <v>439</v>
      </c>
      <c r="L95">
        <v>1346</v>
      </c>
      <c r="N95">
        <v>1009</v>
      </c>
      <c r="O95" t="s">
        <v>440</v>
      </c>
      <c r="P95" t="s">
        <v>440</v>
      </c>
      <c r="Q95">
        <v>1</v>
      </c>
      <c r="X95">
        <v>0.24</v>
      </c>
      <c r="Y95">
        <v>6.09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6</v>
      </c>
      <c r="AG95">
        <v>0.24</v>
      </c>
      <c r="AH95">
        <v>2</v>
      </c>
      <c r="AI95">
        <v>67667269</v>
      </c>
      <c r="AJ95">
        <v>106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ROW(Source!A64)</f>
        <v>64</v>
      </c>
      <c r="B96">
        <v>67667270</v>
      </c>
      <c r="C96">
        <v>67667260</v>
      </c>
      <c r="D96">
        <v>49524296</v>
      </c>
      <c r="E96">
        <v>1</v>
      </c>
      <c r="F96">
        <v>1</v>
      </c>
      <c r="G96">
        <v>1</v>
      </c>
      <c r="H96">
        <v>3</v>
      </c>
      <c r="I96" t="s">
        <v>441</v>
      </c>
      <c r="J96" t="s">
        <v>442</v>
      </c>
      <c r="K96" t="s">
        <v>443</v>
      </c>
      <c r="L96">
        <v>1348</v>
      </c>
      <c r="N96">
        <v>1009</v>
      </c>
      <c r="O96" t="s">
        <v>129</v>
      </c>
      <c r="P96" t="s">
        <v>129</v>
      </c>
      <c r="Q96">
        <v>1000</v>
      </c>
      <c r="X96">
        <v>3.5000000000000001E-3</v>
      </c>
      <c r="Y96">
        <v>11524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6</v>
      </c>
      <c r="AG96">
        <v>3.5000000000000001E-3</v>
      </c>
      <c r="AH96">
        <v>2</v>
      </c>
      <c r="AI96">
        <v>67667270</v>
      </c>
      <c r="AJ96">
        <v>107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ROW(Source!A64)</f>
        <v>64</v>
      </c>
      <c r="B97">
        <v>67667271</v>
      </c>
      <c r="C97">
        <v>67667260</v>
      </c>
      <c r="D97">
        <v>49540301</v>
      </c>
      <c r="E97">
        <v>1</v>
      </c>
      <c r="F97">
        <v>1</v>
      </c>
      <c r="G97">
        <v>1</v>
      </c>
      <c r="H97">
        <v>3</v>
      </c>
      <c r="I97" t="s">
        <v>444</v>
      </c>
      <c r="J97" t="s">
        <v>445</v>
      </c>
      <c r="K97" t="s">
        <v>446</v>
      </c>
      <c r="L97">
        <v>1346</v>
      </c>
      <c r="N97">
        <v>1009</v>
      </c>
      <c r="O97" t="s">
        <v>440</v>
      </c>
      <c r="P97" t="s">
        <v>440</v>
      </c>
      <c r="Q97">
        <v>1</v>
      </c>
      <c r="X97">
        <v>15.2</v>
      </c>
      <c r="Y97">
        <v>12.6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6</v>
      </c>
      <c r="AG97">
        <v>15.2</v>
      </c>
      <c r="AH97">
        <v>2</v>
      </c>
      <c r="AI97">
        <v>67667271</v>
      </c>
      <c r="AJ97">
        <v>108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ROW(Source!A64)</f>
        <v>64</v>
      </c>
      <c r="B98">
        <v>67667272</v>
      </c>
      <c r="C98">
        <v>67667260</v>
      </c>
      <c r="D98">
        <v>49541228</v>
      </c>
      <c r="E98">
        <v>1</v>
      </c>
      <c r="F98">
        <v>1</v>
      </c>
      <c r="G98">
        <v>1</v>
      </c>
      <c r="H98">
        <v>3</v>
      </c>
      <c r="I98" t="s">
        <v>447</v>
      </c>
      <c r="J98" t="s">
        <v>448</v>
      </c>
      <c r="K98" t="s">
        <v>449</v>
      </c>
      <c r="L98">
        <v>1346</v>
      </c>
      <c r="N98">
        <v>1009</v>
      </c>
      <c r="O98" t="s">
        <v>440</v>
      </c>
      <c r="P98" t="s">
        <v>440</v>
      </c>
      <c r="Q98">
        <v>1</v>
      </c>
      <c r="X98">
        <v>2</v>
      </c>
      <c r="Y98">
        <v>15.14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6</v>
      </c>
      <c r="AG98">
        <v>2</v>
      </c>
      <c r="AH98">
        <v>2</v>
      </c>
      <c r="AI98">
        <v>67667272</v>
      </c>
      <c r="AJ98">
        <v>109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ROW(Source!A64)</f>
        <v>64</v>
      </c>
      <c r="B99">
        <v>67667273</v>
      </c>
      <c r="C99">
        <v>67667260</v>
      </c>
      <c r="D99">
        <v>49585776</v>
      </c>
      <c r="E99">
        <v>1</v>
      </c>
      <c r="F99">
        <v>1</v>
      </c>
      <c r="G99">
        <v>1</v>
      </c>
      <c r="H99">
        <v>3</v>
      </c>
      <c r="I99" t="s">
        <v>450</v>
      </c>
      <c r="J99" t="s">
        <v>451</v>
      </c>
      <c r="K99" t="s">
        <v>452</v>
      </c>
      <c r="L99">
        <v>1371</v>
      </c>
      <c r="N99">
        <v>1013</v>
      </c>
      <c r="O99" t="s">
        <v>99</v>
      </c>
      <c r="P99" t="s">
        <v>99</v>
      </c>
      <c r="Q99">
        <v>1</v>
      </c>
      <c r="X99">
        <v>2</v>
      </c>
      <c r="Y99">
        <v>266.67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6</v>
      </c>
      <c r="AG99">
        <v>2</v>
      </c>
      <c r="AH99">
        <v>2</v>
      </c>
      <c r="AI99">
        <v>67667273</v>
      </c>
      <c r="AJ99">
        <v>110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ROW(Source!A64)</f>
        <v>64</v>
      </c>
      <c r="B100">
        <v>67667274</v>
      </c>
      <c r="C100">
        <v>67667260</v>
      </c>
      <c r="D100">
        <v>49515638</v>
      </c>
      <c r="E100">
        <v>70</v>
      </c>
      <c r="F100">
        <v>1</v>
      </c>
      <c r="G100">
        <v>1</v>
      </c>
      <c r="H100">
        <v>3</v>
      </c>
      <c r="I100" t="s">
        <v>453</v>
      </c>
      <c r="J100" t="s">
        <v>6</v>
      </c>
      <c r="K100" t="s">
        <v>454</v>
      </c>
      <c r="L100">
        <v>1374</v>
      </c>
      <c r="N100">
        <v>1013</v>
      </c>
      <c r="O100" t="s">
        <v>455</v>
      </c>
      <c r="P100" t="s">
        <v>455</v>
      </c>
      <c r="Q100">
        <v>1</v>
      </c>
      <c r="X100">
        <v>3.62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6</v>
      </c>
      <c r="AG100">
        <v>3.62</v>
      </c>
      <c r="AH100">
        <v>2</v>
      </c>
      <c r="AI100">
        <v>67667274</v>
      </c>
      <c r="AJ100">
        <v>111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ROW(Source!A66)</f>
        <v>66</v>
      </c>
      <c r="B101">
        <v>67643446</v>
      </c>
      <c r="C101">
        <v>67643443</v>
      </c>
      <c r="D101">
        <v>49510715</v>
      </c>
      <c r="E101">
        <v>70</v>
      </c>
      <c r="F101">
        <v>1</v>
      </c>
      <c r="G101">
        <v>1</v>
      </c>
      <c r="H101">
        <v>1</v>
      </c>
      <c r="I101" t="s">
        <v>456</v>
      </c>
      <c r="J101" t="s">
        <v>6</v>
      </c>
      <c r="K101" t="s">
        <v>457</v>
      </c>
      <c r="L101">
        <v>1191</v>
      </c>
      <c r="N101">
        <v>1013</v>
      </c>
      <c r="O101" t="s">
        <v>340</v>
      </c>
      <c r="P101" t="s">
        <v>340</v>
      </c>
      <c r="Q101">
        <v>1</v>
      </c>
      <c r="X101">
        <v>28.8</v>
      </c>
      <c r="Y101">
        <v>0</v>
      </c>
      <c r="Z101">
        <v>0</v>
      </c>
      <c r="AA101">
        <v>0</v>
      </c>
      <c r="AB101">
        <v>8.5299999999999994</v>
      </c>
      <c r="AC101">
        <v>0</v>
      </c>
      <c r="AD101">
        <v>1</v>
      </c>
      <c r="AE101">
        <v>1</v>
      </c>
      <c r="AF101" t="s">
        <v>6</v>
      </c>
      <c r="AG101">
        <v>28.8</v>
      </c>
      <c r="AH101">
        <v>2</v>
      </c>
      <c r="AI101">
        <v>67643444</v>
      </c>
      <c r="AJ101">
        <v>113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ROW(Source!A66)</f>
        <v>66</v>
      </c>
      <c r="B102">
        <v>67643447</v>
      </c>
      <c r="C102">
        <v>67643443</v>
      </c>
      <c r="D102">
        <v>49523203</v>
      </c>
      <c r="E102">
        <v>1</v>
      </c>
      <c r="F102">
        <v>1</v>
      </c>
      <c r="G102">
        <v>1</v>
      </c>
      <c r="H102">
        <v>3</v>
      </c>
      <c r="I102" t="s">
        <v>367</v>
      </c>
      <c r="J102" t="s">
        <v>368</v>
      </c>
      <c r="K102" t="s">
        <v>369</v>
      </c>
      <c r="L102">
        <v>1339</v>
      </c>
      <c r="N102">
        <v>1007</v>
      </c>
      <c r="O102" t="s">
        <v>33</v>
      </c>
      <c r="P102" t="s">
        <v>33</v>
      </c>
      <c r="Q102">
        <v>1</v>
      </c>
      <c r="X102">
        <v>256</v>
      </c>
      <c r="Y102">
        <v>2.44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6</v>
      </c>
      <c r="AG102">
        <v>256</v>
      </c>
      <c r="AH102">
        <v>2</v>
      </c>
      <c r="AI102">
        <v>67643445</v>
      </c>
      <c r="AJ102">
        <v>114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ROW(Source!A67)</f>
        <v>67</v>
      </c>
      <c r="B103">
        <v>67643455</v>
      </c>
      <c r="C103">
        <v>67643448</v>
      </c>
      <c r="D103">
        <v>49510731</v>
      </c>
      <c r="E103">
        <v>70</v>
      </c>
      <c r="F103">
        <v>1</v>
      </c>
      <c r="G103">
        <v>1</v>
      </c>
      <c r="H103">
        <v>1</v>
      </c>
      <c r="I103" t="s">
        <v>370</v>
      </c>
      <c r="J103" t="s">
        <v>6</v>
      </c>
      <c r="K103" t="s">
        <v>371</v>
      </c>
      <c r="L103">
        <v>1191</v>
      </c>
      <c r="N103">
        <v>1013</v>
      </c>
      <c r="O103" t="s">
        <v>340</v>
      </c>
      <c r="P103" t="s">
        <v>340</v>
      </c>
      <c r="Q103">
        <v>1</v>
      </c>
      <c r="X103">
        <v>17.010000000000002</v>
      </c>
      <c r="Y103">
        <v>0</v>
      </c>
      <c r="Z103">
        <v>0</v>
      </c>
      <c r="AA103">
        <v>0</v>
      </c>
      <c r="AB103">
        <v>9.07</v>
      </c>
      <c r="AC103">
        <v>0</v>
      </c>
      <c r="AD103">
        <v>1</v>
      </c>
      <c r="AE103">
        <v>1</v>
      </c>
      <c r="AF103" t="s">
        <v>6</v>
      </c>
      <c r="AG103">
        <v>17.010000000000002</v>
      </c>
      <c r="AH103">
        <v>2</v>
      </c>
      <c r="AI103">
        <v>67643449</v>
      </c>
      <c r="AJ103">
        <v>115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ROW(Source!A67)</f>
        <v>67</v>
      </c>
      <c r="B104">
        <v>67643456</v>
      </c>
      <c r="C104">
        <v>67643448</v>
      </c>
      <c r="D104">
        <v>49523843</v>
      </c>
      <c r="E104">
        <v>1</v>
      </c>
      <c r="F104">
        <v>1</v>
      </c>
      <c r="G104">
        <v>1</v>
      </c>
      <c r="H104">
        <v>3</v>
      </c>
      <c r="I104" t="s">
        <v>381</v>
      </c>
      <c r="J104" t="s">
        <v>382</v>
      </c>
      <c r="K104" t="s">
        <v>383</v>
      </c>
      <c r="L104">
        <v>1348</v>
      </c>
      <c r="N104">
        <v>1009</v>
      </c>
      <c r="O104" t="s">
        <v>129</v>
      </c>
      <c r="P104" t="s">
        <v>129</v>
      </c>
      <c r="Q104">
        <v>1000</v>
      </c>
      <c r="X104">
        <v>1E-3</v>
      </c>
      <c r="Y104">
        <v>30030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6</v>
      </c>
      <c r="AG104">
        <v>1E-3</v>
      </c>
      <c r="AH104">
        <v>2</v>
      </c>
      <c r="AI104">
        <v>67643450</v>
      </c>
      <c r="AJ104">
        <v>116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ROW(Source!A67)</f>
        <v>67</v>
      </c>
      <c r="B105">
        <v>67643457</v>
      </c>
      <c r="C105">
        <v>67643448</v>
      </c>
      <c r="D105">
        <v>49527507</v>
      </c>
      <c r="E105">
        <v>1</v>
      </c>
      <c r="F105">
        <v>1</v>
      </c>
      <c r="G105">
        <v>1</v>
      </c>
      <c r="H105">
        <v>3</v>
      </c>
      <c r="I105" t="s">
        <v>458</v>
      </c>
      <c r="J105" t="s">
        <v>459</v>
      </c>
      <c r="K105" t="s">
        <v>460</v>
      </c>
      <c r="L105">
        <v>1339</v>
      </c>
      <c r="N105">
        <v>1007</v>
      </c>
      <c r="O105" t="s">
        <v>33</v>
      </c>
      <c r="P105" t="s">
        <v>33</v>
      </c>
      <c r="Q105">
        <v>1</v>
      </c>
      <c r="X105">
        <v>0.2</v>
      </c>
      <c r="Y105">
        <v>59.99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6</v>
      </c>
      <c r="AG105">
        <v>0.2</v>
      </c>
      <c r="AH105">
        <v>2</v>
      </c>
      <c r="AI105">
        <v>67643451</v>
      </c>
      <c r="AJ105">
        <v>117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ROW(Source!A67)</f>
        <v>67</v>
      </c>
      <c r="B106">
        <v>67643458</v>
      </c>
      <c r="C106">
        <v>67643448</v>
      </c>
      <c r="D106">
        <v>49527755</v>
      </c>
      <c r="E106">
        <v>1</v>
      </c>
      <c r="F106">
        <v>1</v>
      </c>
      <c r="G106">
        <v>1</v>
      </c>
      <c r="H106">
        <v>3</v>
      </c>
      <c r="I106" t="s">
        <v>461</v>
      </c>
      <c r="J106" t="s">
        <v>462</v>
      </c>
      <c r="K106" t="s">
        <v>463</v>
      </c>
      <c r="L106">
        <v>1348</v>
      </c>
      <c r="N106">
        <v>1009</v>
      </c>
      <c r="O106" t="s">
        <v>129</v>
      </c>
      <c r="P106" t="s">
        <v>129</v>
      </c>
      <c r="Q106">
        <v>1000</v>
      </c>
      <c r="X106">
        <v>1E-3</v>
      </c>
      <c r="Y106">
        <v>424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6</v>
      </c>
      <c r="AG106">
        <v>1E-3</v>
      </c>
      <c r="AH106">
        <v>2</v>
      </c>
      <c r="AI106">
        <v>67643452</v>
      </c>
      <c r="AJ106">
        <v>118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ROW(Source!A67)</f>
        <v>67</v>
      </c>
      <c r="B107">
        <v>67643459</v>
      </c>
      <c r="C107">
        <v>67643448</v>
      </c>
      <c r="D107">
        <v>49528287</v>
      </c>
      <c r="E107">
        <v>1</v>
      </c>
      <c r="F107">
        <v>1</v>
      </c>
      <c r="G107">
        <v>1</v>
      </c>
      <c r="H107">
        <v>3</v>
      </c>
      <c r="I107" t="s">
        <v>464</v>
      </c>
      <c r="J107" t="s">
        <v>465</v>
      </c>
      <c r="K107" t="s">
        <v>466</v>
      </c>
      <c r="L107">
        <v>1339</v>
      </c>
      <c r="N107">
        <v>1007</v>
      </c>
      <c r="O107" t="s">
        <v>33</v>
      </c>
      <c r="P107" t="s">
        <v>33</v>
      </c>
      <c r="Q107">
        <v>1</v>
      </c>
      <c r="X107">
        <v>6.5000000000000002E-2</v>
      </c>
      <c r="Y107">
        <v>600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6</v>
      </c>
      <c r="AG107">
        <v>6.5000000000000002E-2</v>
      </c>
      <c r="AH107">
        <v>2</v>
      </c>
      <c r="AI107">
        <v>67643453</v>
      </c>
      <c r="AJ107">
        <v>119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ROW(Source!A67)</f>
        <v>67</v>
      </c>
      <c r="B108">
        <v>67643460</v>
      </c>
      <c r="C108">
        <v>67643448</v>
      </c>
      <c r="D108">
        <v>49528527</v>
      </c>
      <c r="E108">
        <v>1</v>
      </c>
      <c r="F108">
        <v>1</v>
      </c>
      <c r="G108">
        <v>1</v>
      </c>
      <c r="H108">
        <v>3</v>
      </c>
      <c r="I108" t="s">
        <v>416</v>
      </c>
      <c r="J108" t="s">
        <v>417</v>
      </c>
      <c r="K108" t="s">
        <v>418</v>
      </c>
      <c r="L108">
        <v>1339</v>
      </c>
      <c r="N108">
        <v>1007</v>
      </c>
      <c r="O108" t="s">
        <v>33</v>
      </c>
      <c r="P108" t="s">
        <v>33</v>
      </c>
      <c r="Q108">
        <v>1</v>
      </c>
      <c r="X108">
        <v>1E-3</v>
      </c>
      <c r="Y108">
        <v>519.79999999999995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6</v>
      </c>
      <c r="AG108">
        <v>1E-3</v>
      </c>
      <c r="AH108">
        <v>2</v>
      </c>
      <c r="AI108">
        <v>67643454</v>
      </c>
      <c r="AJ108">
        <v>120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ROW(Source!A68)</f>
        <v>68</v>
      </c>
      <c r="B109">
        <v>67643464</v>
      </c>
      <c r="C109">
        <v>67643461</v>
      </c>
      <c r="D109">
        <v>49510657</v>
      </c>
      <c r="E109">
        <v>70</v>
      </c>
      <c r="F109">
        <v>1</v>
      </c>
      <c r="G109">
        <v>1</v>
      </c>
      <c r="H109">
        <v>1</v>
      </c>
      <c r="I109" t="s">
        <v>467</v>
      </c>
      <c r="J109" t="s">
        <v>6</v>
      </c>
      <c r="K109" t="s">
        <v>468</v>
      </c>
      <c r="L109">
        <v>1191</v>
      </c>
      <c r="N109">
        <v>1013</v>
      </c>
      <c r="O109" t="s">
        <v>340</v>
      </c>
      <c r="P109" t="s">
        <v>340</v>
      </c>
      <c r="Q109">
        <v>1</v>
      </c>
      <c r="X109">
        <v>88.5</v>
      </c>
      <c r="Y109">
        <v>0</v>
      </c>
      <c r="Z109">
        <v>0</v>
      </c>
      <c r="AA109">
        <v>0</v>
      </c>
      <c r="AB109">
        <v>7.5</v>
      </c>
      <c r="AC109">
        <v>0</v>
      </c>
      <c r="AD109">
        <v>1</v>
      </c>
      <c r="AE109">
        <v>1</v>
      </c>
      <c r="AF109" t="s">
        <v>6</v>
      </c>
      <c r="AG109">
        <v>88.5</v>
      </c>
      <c r="AH109">
        <v>2</v>
      </c>
      <c r="AI109">
        <v>67643462</v>
      </c>
      <c r="AJ109">
        <v>121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ROW(Source!A70)</f>
        <v>70</v>
      </c>
      <c r="B110">
        <v>67643472</v>
      </c>
      <c r="C110">
        <v>67643469</v>
      </c>
      <c r="D110">
        <v>49510905</v>
      </c>
      <c r="E110">
        <v>70</v>
      </c>
      <c r="F110">
        <v>1</v>
      </c>
      <c r="G110">
        <v>1</v>
      </c>
      <c r="H110">
        <v>1</v>
      </c>
      <c r="I110" t="s">
        <v>341</v>
      </c>
      <c r="J110" t="s">
        <v>6</v>
      </c>
      <c r="K110" t="s">
        <v>342</v>
      </c>
      <c r="L110">
        <v>1191</v>
      </c>
      <c r="N110">
        <v>1013</v>
      </c>
      <c r="O110" t="s">
        <v>340</v>
      </c>
      <c r="P110" t="s">
        <v>340</v>
      </c>
      <c r="Q110">
        <v>1</v>
      </c>
      <c r="X110">
        <v>8.06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2</v>
      </c>
      <c r="AF110" t="s">
        <v>6</v>
      </c>
      <c r="AG110">
        <v>8.06</v>
      </c>
      <c r="AH110">
        <v>2</v>
      </c>
      <c r="AI110">
        <v>67643470</v>
      </c>
      <c r="AJ110">
        <v>123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ROW(Source!A70)</f>
        <v>70</v>
      </c>
      <c r="B111">
        <v>67643473</v>
      </c>
      <c r="C111">
        <v>67643469</v>
      </c>
      <c r="D111">
        <v>49672021</v>
      </c>
      <c r="E111">
        <v>1</v>
      </c>
      <c r="F111">
        <v>1</v>
      </c>
      <c r="G111">
        <v>1</v>
      </c>
      <c r="H111">
        <v>2</v>
      </c>
      <c r="I111" t="s">
        <v>469</v>
      </c>
      <c r="J111" t="s">
        <v>470</v>
      </c>
      <c r="K111" t="s">
        <v>471</v>
      </c>
      <c r="L111">
        <v>1367</v>
      </c>
      <c r="N111">
        <v>1011</v>
      </c>
      <c r="O111" t="s">
        <v>346</v>
      </c>
      <c r="P111" t="s">
        <v>346</v>
      </c>
      <c r="Q111">
        <v>1</v>
      </c>
      <c r="X111">
        <v>8.06</v>
      </c>
      <c r="Y111">
        <v>0</v>
      </c>
      <c r="Z111">
        <v>59.47</v>
      </c>
      <c r="AA111">
        <v>11.6</v>
      </c>
      <c r="AB111">
        <v>0</v>
      </c>
      <c r="AC111">
        <v>0</v>
      </c>
      <c r="AD111">
        <v>1</v>
      </c>
      <c r="AE111">
        <v>0</v>
      </c>
      <c r="AF111" t="s">
        <v>6</v>
      </c>
      <c r="AG111">
        <v>8.06</v>
      </c>
      <c r="AH111">
        <v>2</v>
      </c>
      <c r="AI111">
        <v>67643471</v>
      </c>
      <c r="AJ111">
        <v>124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ROW(Source!A71)</f>
        <v>71</v>
      </c>
      <c r="B112">
        <v>67643479</v>
      </c>
      <c r="C112">
        <v>67643474</v>
      </c>
      <c r="D112">
        <v>49510715</v>
      </c>
      <c r="E112">
        <v>70</v>
      </c>
      <c r="F112">
        <v>1</v>
      </c>
      <c r="G112">
        <v>1</v>
      </c>
      <c r="H112">
        <v>1</v>
      </c>
      <c r="I112" t="s">
        <v>456</v>
      </c>
      <c r="J112" t="s">
        <v>6</v>
      </c>
      <c r="K112" t="s">
        <v>457</v>
      </c>
      <c r="L112">
        <v>1191</v>
      </c>
      <c r="N112">
        <v>1013</v>
      </c>
      <c r="O112" t="s">
        <v>340</v>
      </c>
      <c r="P112" t="s">
        <v>340</v>
      </c>
      <c r="Q112">
        <v>1</v>
      </c>
      <c r="X112">
        <v>12.53</v>
      </c>
      <c r="Y112">
        <v>0</v>
      </c>
      <c r="Z112">
        <v>0</v>
      </c>
      <c r="AA112">
        <v>0</v>
      </c>
      <c r="AB112">
        <v>8.5299999999999994</v>
      </c>
      <c r="AC112">
        <v>0</v>
      </c>
      <c r="AD112">
        <v>1</v>
      </c>
      <c r="AE112">
        <v>1</v>
      </c>
      <c r="AF112" t="s">
        <v>6</v>
      </c>
      <c r="AG112">
        <v>12.53</v>
      </c>
      <c r="AH112">
        <v>2</v>
      </c>
      <c r="AI112">
        <v>67643475</v>
      </c>
      <c r="AJ112">
        <v>125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ROW(Source!A71)</f>
        <v>71</v>
      </c>
      <c r="B113">
        <v>67643480</v>
      </c>
      <c r="C113">
        <v>67643474</v>
      </c>
      <c r="D113">
        <v>49510905</v>
      </c>
      <c r="E113">
        <v>70</v>
      </c>
      <c r="F113">
        <v>1</v>
      </c>
      <c r="G113">
        <v>1</v>
      </c>
      <c r="H113">
        <v>1</v>
      </c>
      <c r="I113" t="s">
        <v>341</v>
      </c>
      <c r="J113" t="s">
        <v>6</v>
      </c>
      <c r="K113" t="s">
        <v>342</v>
      </c>
      <c r="L113">
        <v>1191</v>
      </c>
      <c r="N113">
        <v>1013</v>
      </c>
      <c r="O113" t="s">
        <v>340</v>
      </c>
      <c r="P113" t="s">
        <v>340</v>
      </c>
      <c r="Q113">
        <v>1</v>
      </c>
      <c r="X113">
        <v>2.62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2</v>
      </c>
      <c r="AF113" t="s">
        <v>6</v>
      </c>
      <c r="AG113">
        <v>2.62</v>
      </c>
      <c r="AH113">
        <v>2</v>
      </c>
      <c r="AI113">
        <v>67643476</v>
      </c>
      <c r="AJ113">
        <v>126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ROW(Source!A71)</f>
        <v>71</v>
      </c>
      <c r="B114">
        <v>67643481</v>
      </c>
      <c r="C114">
        <v>67643474</v>
      </c>
      <c r="D114">
        <v>49673046</v>
      </c>
      <c r="E114">
        <v>1</v>
      </c>
      <c r="F114">
        <v>1</v>
      </c>
      <c r="G114">
        <v>1</v>
      </c>
      <c r="H114">
        <v>2</v>
      </c>
      <c r="I114" t="s">
        <v>472</v>
      </c>
      <c r="J114" t="s">
        <v>473</v>
      </c>
      <c r="K114" t="s">
        <v>474</v>
      </c>
      <c r="L114">
        <v>1367</v>
      </c>
      <c r="N114">
        <v>1011</v>
      </c>
      <c r="O114" t="s">
        <v>346</v>
      </c>
      <c r="P114" t="s">
        <v>346</v>
      </c>
      <c r="Q114">
        <v>1</v>
      </c>
      <c r="X114">
        <v>10.5</v>
      </c>
      <c r="Y114">
        <v>0</v>
      </c>
      <c r="Z114">
        <v>0.55000000000000004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6</v>
      </c>
      <c r="AG114">
        <v>10.5</v>
      </c>
      <c r="AH114">
        <v>2</v>
      </c>
      <c r="AI114">
        <v>67643477</v>
      </c>
      <c r="AJ114">
        <v>127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ROW(Source!A71)</f>
        <v>71</v>
      </c>
      <c r="B115">
        <v>67643482</v>
      </c>
      <c r="C115">
        <v>67643474</v>
      </c>
      <c r="D115">
        <v>49673729</v>
      </c>
      <c r="E115">
        <v>1</v>
      </c>
      <c r="F115">
        <v>1</v>
      </c>
      <c r="G115">
        <v>1</v>
      </c>
      <c r="H115">
        <v>2</v>
      </c>
      <c r="I115" t="s">
        <v>475</v>
      </c>
      <c r="J115" t="s">
        <v>476</v>
      </c>
      <c r="K115" t="s">
        <v>477</v>
      </c>
      <c r="L115">
        <v>1367</v>
      </c>
      <c r="N115">
        <v>1011</v>
      </c>
      <c r="O115" t="s">
        <v>346</v>
      </c>
      <c r="P115" t="s">
        <v>346</v>
      </c>
      <c r="Q115">
        <v>1</v>
      </c>
      <c r="X115">
        <v>2.62</v>
      </c>
      <c r="Y115">
        <v>0</v>
      </c>
      <c r="Z115">
        <v>90</v>
      </c>
      <c r="AA115">
        <v>10.06</v>
      </c>
      <c r="AB115">
        <v>0</v>
      </c>
      <c r="AC115">
        <v>0</v>
      </c>
      <c r="AD115">
        <v>1</v>
      </c>
      <c r="AE115">
        <v>0</v>
      </c>
      <c r="AF115" t="s">
        <v>6</v>
      </c>
      <c r="AG115">
        <v>2.62</v>
      </c>
      <c r="AH115">
        <v>2</v>
      </c>
      <c r="AI115">
        <v>67643478</v>
      </c>
      <c r="AJ115">
        <v>128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24</v>
      </c>
      <c r="B1">
        <v>1</v>
      </c>
      <c r="C1" t="s">
        <v>6</v>
      </c>
      <c r="D1" t="s">
        <v>6</v>
      </c>
      <c r="E1" t="s">
        <v>22</v>
      </c>
      <c r="F1" t="s">
        <v>22</v>
      </c>
      <c r="G1" t="s">
        <v>22</v>
      </c>
      <c r="H1" t="s">
        <v>6</v>
      </c>
      <c r="I1" t="s">
        <v>22</v>
      </c>
      <c r="J1" t="s">
        <v>22</v>
      </c>
      <c r="K1" t="s">
        <v>6</v>
      </c>
      <c r="L1" t="s">
        <v>6</v>
      </c>
      <c r="M1" t="s">
        <v>6</v>
      </c>
      <c r="N1" t="s">
        <v>6</v>
      </c>
      <c r="O1" t="s">
        <v>347</v>
      </c>
      <c r="P1" t="s">
        <v>6</v>
      </c>
      <c r="Q1" t="s">
        <v>6</v>
      </c>
      <c r="R1" t="s">
        <v>6</v>
      </c>
      <c r="S1" t="s">
        <v>490</v>
      </c>
      <c r="T1" t="s">
        <v>491</v>
      </c>
      <c r="U1" t="s">
        <v>492</v>
      </c>
    </row>
    <row r="2" spans="1:21" x14ac:dyDescent="0.2">
      <c r="A2">
        <v>31</v>
      </c>
      <c r="B2">
        <v>1</v>
      </c>
      <c r="C2" t="s">
        <v>6</v>
      </c>
      <c r="D2" t="s">
        <v>6</v>
      </c>
      <c r="E2" t="s">
        <v>6</v>
      </c>
      <c r="F2" t="s">
        <v>6</v>
      </c>
      <c r="G2" t="s">
        <v>493</v>
      </c>
      <c r="H2" t="s">
        <v>6</v>
      </c>
      <c r="I2" t="s">
        <v>493</v>
      </c>
      <c r="J2" t="s">
        <v>6</v>
      </c>
      <c r="K2" t="s">
        <v>6</v>
      </c>
      <c r="L2" t="s">
        <v>6</v>
      </c>
      <c r="M2" t="s">
        <v>6</v>
      </c>
      <c r="N2" t="s">
        <v>6</v>
      </c>
      <c r="O2" t="s">
        <v>6</v>
      </c>
      <c r="P2" t="s">
        <v>6</v>
      </c>
      <c r="Q2" t="s">
        <v>6</v>
      </c>
      <c r="R2" t="s">
        <v>6</v>
      </c>
      <c r="S2" t="s">
        <v>494</v>
      </c>
      <c r="T2" t="s">
        <v>495</v>
      </c>
    </row>
    <row r="3" spans="1:21" x14ac:dyDescent="0.2">
      <c r="A3">
        <v>31</v>
      </c>
      <c r="B3">
        <v>1</v>
      </c>
      <c r="C3" t="s">
        <v>6</v>
      </c>
      <c r="D3" t="s">
        <v>6</v>
      </c>
      <c r="E3" t="s">
        <v>6</v>
      </c>
      <c r="F3" t="s">
        <v>6</v>
      </c>
      <c r="G3" t="s">
        <v>496</v>
      </c>
      <c r="H3" t="s">
        <v>6</v>
      </c>
      <c r="I3" t="s">
        <v>496</v>
      </c>
      <c r="J3" t="s">
        <v>6</v>
      </c>
      <c r="K3" t="s">
        <v>6</v>
      </c>
      <c r="L3" t="s">
        <v>6</v>
      </c>
      <c r="M3" t="s">
        <v>6</v>
      </c>
      <c r="N3" t="s">
        <v>6</v>
      </c>
      <c r="O3" t="s">
        <v>6</v>
      </c>
      <c r="P3" t="s">
        <v>6</v>
      </c>
      <c r="Q3" t="s">
        <v>6</v>
      </c>
      <c r="R3" t="s">
        <v>6</v>
      </c>
      <c r="S3" t="s">
        <v>497</v>
      </c>
      <c r="T3" t="s">
        <v>498</v>
      </c>
      <c r="U3" t="s">
        <v>492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28762</v>
      </c>
      <c r="M1">
        <v>66419001</v>
      </c>
      <c r="N1">
        <v>11</v>
      </c>
      <c r="O1">
        <v>11</v>
      </c>
      <c r="P1">
        <v>0</v>
      </c>
      <c r="Q1">
        <v>3</v>
      </c>
    </row>
    <row r="12" spans="1:103" x14ac:dyDescent="0.2">
      <c r="F12" t="str">
        <f>Source!F12</f>
        <v>6.3.5   Устройство внутриплощ. наружных сетей ливневой канализации П</v>
      </c>
      <c r="G12" t="str">
        <f>Source!G12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11"/>
  <sheetViews>
    <sheetView topLeftCell="A37" workbookViewId="0">
      <selection activeCell="H22" sqref="H22:I94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3" customFormat="1" ht="11.25" x14ac:dyDescent="0.2">
      <c r="A1" s="244" t="s">
        <v>526</v>
      </c>
      <c r="B1" s="244"/>
      <c r="C1" s="244"/>
      <c r="D1" s="244"/>
      <c r="E1" s="244"/>
      <c r="F1" s="244"/>
      <c r="G1" s="244"/>
    </row>
    <row r="3" spans="1:255" x14ac:dyDescent="0.2">
      <c r="A3" s="18" t="s">
        <v>533</v>
      </c>
      <c r="B3" s="17"/>
      <c r="C3" s="234"/>
      <c r="D3" s="235"/>
      <c r="E3" s="235"/>
      <c r="F3" s="235"/>
      <c r="G3" s="235"/>
      <c r="BR3" s="20">
        <f>C3</f>
        <v>0</v>
      </c>
      <c r="IU3" s="21"/>
    </row>
    <row r="4" spans="1:255" x14ac:dyDescent="0.2">
      <c r="A4" s="18" t="s">
        <v>535</v>
      </c>
      <c r="B4" s="17"/>
      <c r="C4" s="236"/>
      <c r="D4" s="237"/>
      <c r="E4" s="237"/>
      <c r="F4" s="237"/>
      <c r="G4" s="237"/>
      <c r="BR4" s="20">
        <f>C4</f>
        <v>0</v>
      </c>
      <c r="IU4" s="21"/>
    </row>
    <row r="5" spans="1:255" x14ac:dyDescent="0.2">
      <c r="A5" s="18" t="s">
        <v>536</v>
      </c>
      <c r="B5" s="17"/>
      <c r="C5" s="236"/>
      <c r="D5" s="237"/>
      <c r="E5" s="237"/>
      <c r="F5" s="237"/>
      <c r="G5" s="237"/>
      <c r="BR5" s="20">
        <f>C5</f>
        <v>0</v>
      </c>
      <c r="IU5" s="21"/>
    </row>
    <row r="6" spans="1:255" x14ac:dyDescent="0.2">
      <c r="A6" s="18" t="s">
        <v>537</v>
      </c>
      <c r="B6" s="17"/>
      <c r="C6" s="238"/>
      <c r="D6" s="239"/>
      <c r="E6" s="239"/>
      <c r="F6" s="239"/>
      <c r="G6" s="239"/>
      <c r="BR6" s="20">
        <f>C6</f>
        <v>0</v>
      </c>
      <c r="IU6" s="21"/>
    </row>
    <row r="7" spans="1:255" x14ac:dyDescent="0.2">
      <c r="A7" s="240"/>
      <c r="B7" s="240"/>
      <c r="C7" s="240"/>
      <c r="D7" s="240"/>
      <c r="E7" s="240"/>
      <c r="F7" s="240"/>
      <c r="G7" s="240"/>
    </row>
    <row r="8" spans="1:255" ht="18.75" x14ac:dyDescent="0.3">
      <c r="A8" s="241" t="s">
        <v>696</v>
      </c>
      <c r="B8" s="241"/>
      <c r="C8" s="241"/>
      <c r="D8" s="241"/>
      <c r="E8" s="241"/>
      <c r="F8" s="241"/>
      <c r="G8" s="241"/>
    </row>
    <row r="9" spans="1:255" x14ac:dyDescent="0.2">
      <c r="A9" s="242"/>
      <c r="B9" s="242"/>
      <c r="C9" s="242"/>
      <c r="D9" s="242"/>
      <c r="E9" s="242"/>
      <c r="F9" s="242"/>
      <c r="G9" s="242"/>
    </row>
    <row r="10" spans="1:255" x14ac:dyDescent="0.2">
      <c r="A10" s="242"/>
      <c r="B10" s="242"/>
      <c r="C10" s="242"/>
      <c r="D10" s="242"/>
      <c r="E10" s="242"/>
      <c r="F10" s="242"/>
      <c r="G10" s="242"/>
    </row>
    <row r="11" spans="1:255" ht="78.75" x14ac:dyDescent="0.25">
      <c r="A11" s="12" t="s">
        <v>671</v>
      </c>
      <c r="B11" s="243" t="s">
        <v>4</v>
      </c>
      <c r="C11" s="243"/>
      <c r="D11" s="243"/>
      <c r="E11" s="243"/>
      <c r="F11" s="243"/>
      <c r="G11" s="243"/>
      <c r="BS11" s="182" t="str">
        <f>B11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1" s="21"/>
    </row>
    <row r="12" spans="1:255" ht="78.75" x14ac:dyDescent="0.25">
      <c r="A12" s="12" t="s">
        <v>539</v>
      </c>
      <c r="B12" s="232" t="s">
        <v>4</v>
      </c>
      <c r="C12" s="232"/>
      <c r="D12" s="232"/>
      <c r="E12" s="232"/>
      <c r="F12" s="232"/>
      <c r="G12" s="232"/>
      <c r="BS12" s="182" t="str">
        <f>B12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2" s="21"/>
    </row>
    <row r="13" spans="1:255" x14ac:dyDescent="0.2">
      <c r="A13" s="12" t="s">
        <v>540</v>
      </c>
      <c r="B13" s="225" t="s">
        <v>558</v>
      </c>
      <c r="C13" s="226"/>
      <c r="D13" s="226"/>
      <c r="E13" s="226"/>
      <c r="F13" s="226"/>
      <c r="G13" s="226"/>
      <c r="BT13" s="20">
        <f>C13</f>
        <v>0</v>
      </c>
      <c r="IU13" s="21"/>
    </row>
    <row r="15" spans="1:255" x14ac:dyDescent="0.2">
      <c r="A15" s="12" t="s">
        <v>554</v>
      </c>
    </row>
    <row r="16" spans="1:255" x14ac:dyDescent="0.2">
      <c r="A16" s="12" t="s">
        <v>555</v>
      </c>
    </row>
    <row r="17" spans="1:255" x14ac:dyDescent="0.2">
      <c r="A17" s="183" t="s">
        <v>672</v>
      </c>
      <c r="B17" s="183" t="s">
        <v>674</v>
      </c>
      <c r="C17" s="183" t="s">
        <v>677</v>
      </c>
      <c r="D17" s="183" t="s">
        <v>679</v>
      </c>
      <c r="E17" s="183" t="s">
        <v>682</v>
      </c>
      <c r="F17" s="183" t="s">
        <v>684</v>
      </c>
      <c r="G17" s="183" t="s">
        <v>686</v>
      </c>
      <c r="H17" s="183" t="s">
        <v>688</v>
      </c>
      <c r="I17" s="184" t="s">
        <v>641</v>
      </c>
    </row>
    <row r="18" spans="1:255" x14ac:dyDescent="0.2">
      <c r="A18" s="185" t="s">
        <v>673</v>
      </c>
      <c r="B18" s="185" t="s">
        <v>675</v>
      </c>
      <c r="C18" s="185" t="s">
        <v>697</v>
      </c>
      <c r="D18" s="185" t="s">
        <v>680</v>
      </c>
      <c r="E18" s="185" t="s">
        <v>683</v>
      </c>
      <c r="F18" s="185" t="s">
        <v>685</v>
      </c>
      <c r="G18" s="185" t="s">
        <v>687</v>
      </c>
      <c r="H18" s="185" t="s">
        <v>689</v>
      </c>
      <c r="I18" s="186" t="s">
        <v>583</v>
      </c>
    </row>
    <row r="19" spans="1:255" x14ac:dyDescent="0.2">
      <c r="A19" s="185"/>
      <c r="B19" s="185" t="s">
        <v>676</v>
      </c>
      <c r="C19" s="185"/>
      <c r="D19" s="185" t="s">
        <v>681</v>
      </c>
      <c r="E19" s="185"/>
      <c r="F19" s="185"/>
      <c r="G19" s="185" t="s">
        <v>685</v>
      </c>
      <c r="H19" s="185" t="s">
        <v>690</v>
      </c>
      <c r="I19" s="186"/>
    </row>
    <row r="20" spans="1:255" x14ac:dyDescent="0.2">
      <c r="A20" s="183">
        <v>1</v>
      </c>
      <c r="B20" s="183">
        <v>2</v>
      </c>
      <c r="C20" s="183">
        <v>3</v>
      </c>
      <c r="D20" s="183">
        <v>4</v>
      </c>
      <c r="E20" s="183">
        <v>5</v>
      </c>
      <c r="F20" s="183">
        <v>6</v>
      </c>
      <c r="G20" s="183">
        <v>7</v>
      </c>
      <c r="H20" s="183">
        <v>8</v>
      </c>
      <c r="I20" s="184">
        <v>9</v>
      </c>
    </row>
    <row r="21" spans="1:255" x14ac:dyDescent="0.2">
      <c r="A21" s="198"/>
      <c r="B21" s="198" t="s">
        <v>698</v>
      </c>
      <c r="C21" s="198"/>
      <c r="D21" s="198"/>
      <c r="E21" s="198"/>
      <c r="F21" s="198"/>
      <c r="G21" s="192"/>
      <c r="H21" s="192"/>
      <c r="I21" s="192"/>
    </row>
    <row r="22" spans="1:255" s="40" customFormat="1" ht="24" x14ac:dyDescent="0.2">
      <c r="A22" s="199">
        <v>1</v>
      </c>
      <c r="B22" s="200" t="s">
        <v>467</v>
      </c>
      <c r="C22" s="200" t="s">
        <v>468</v>
      </c>
      <c r="D22" s="200" t="s">
        <v>340</v>
      </c>
      <c r="E22" s="201">
        <v>338.07</v>
      </c>
      <c r="F22" s="202"/>
      <c r="G22" s="202"/>
      <c r="H22" s="203"/>
      <c r="I22" s="203"/>
    </row>
    <row r="23" spans="1:255" s="40" customFormat="1" ht="24" x14ac:dyDescent="0.2">
      <c r="A23" s="199">
        <v>2</v>
      </c>
      <c r="B23" s="200" t="s">
        <v>338</v>
      </c>
      <c r="C23" s="200" t="s">
        <v>339</v>
      </c>
      <c r="D23" s="200" t="s">
        <v>340</v>
      </c>
      <c r="E23" s="201">
        <v>85.782864000000004</v>
      </c>
      <c r="F23" s="202"/>
      <c r="G23" s="202"/>
      <c r="H23" s="203"/>
      <c r="I23" s="203"/>
    </row>
    <row r="24" spans="1:255" s="40" customFormat="1" ht="24" x14ac:dyDescent="0.2">
      <c r="A24" s="199">
        <v>3</v>
      </c>
      <c r="B24" s="200" t="s">
        <v>354</v>
      </c>
      <c r="C24" s="200" t="s">
        <v>355</v>
      </c>
      <c r="D24" s="200" t="s">
        <v>340</v>
      </c>
      <c r="E24" s="201">
        <v>52.02</v>
      </c>
      <c r="F24" s="202"/>
      <c r="G24" s="202"/>
      <c r="H24" s="203"/>
      <c r="I24" s="203"/>
    </row>
    <row r="25" spans="1:255" s="40" customFormat="1" ht="24" x14ac:dyDescent="0.2">
      <c r="A25" s="199">
        <v>4</v>
      </c>
      <c r="B25" s="200" t="s">
        <v>456</v>
      </c>
      <c r="C25" s="200" t="s">
        <v>457</v>
      </c>
      <c r="D25" s="200" t="s">
        <v>340</v>
      </c>
      <c r="E25" s="201">
        <v>201.55670000000001</v>
      </c>
      <c r="F25" s="202"/>
      <c r="G25" s="202"/>
      <c r="H25" s="203"/>
      <c r="I25" s="203"/>
    </row>
    <row r="26" spans="1:255" s="40" customFormat="1" ht="24" x14ac:dyDescent="0.2">
      <c r="A26" s="199">
        <v>5</v>
      </c>
      <c r="B26" s="200" t="s">
        <v>402</v>
      </c>
      <c r="C26" s="200" t="s">
        <v>403</v>
      </c>
      <c r="D26" s="200" t="s">
        <v>340</v>
      </c>
      <c r="E26" s="201">
        <v>122.46</v>
      </c>
      <c r="F26" s="202"/>
      <c r="G26" s="202"/>
      <c r="H26" s="203"/>
      <c r="I26" s="203"/>
    </row>
    <row r="27" spans="1:255" s="40" customFormat="1" ht="24" x14ac:dyDescent="0.2">
      <c r="A27" s="199">
        <v>6</v>
      </c>
      <c r="B27" s="200" t="s">
        <v>370</v>
      </c>
      <c r="C27" s="200" t="s">
        <v>371</v>
      </c>
      <c r="D27" s="200" t="s">
        <v>340</v>
      </c>
      <c r="E27" s="201">
        <v>347.37</v>
      </c>
      <c r="F27" s="202"/>
      <c r="G27" s="202"/>
      <c r="H27" s="203"/>
      <c r="I27" s="203"/>
    </row>
    <row r="28" spans="1:255" s="40" customFormat="1" ht="24" x14ac:dyDescent="0.2">
      <c r="A28" s="199">
        <v>7</v>
      </c>
      <c r="B28" s="200" t="s">
        <v>359</v>
      </c>
      <c r="C28" s="200" t="s">
        <v>360</v>
      </c>
      <c r="D28" s="200" t="s">
        <v>340</v>
      </c>
      <c r="E28" s="201">
        <v>150.88559999999998</v>
      </c>
      <c r="F28" s="202"/>
      <c r="G28" s="202"/>
      <c r="H28" s="203"/>
      <c r="I28" s="203"/>
    </row>
    <row r="29" spans="1:255" s="40" customFormat="1" ht="12" x14ac:dyDescent="0.2">
      <c r="A29" s="199">
        <v>8</v>
      </c>
      <c r="B29" s="200" t="s">
        <v>341</v>
      </c>
      <c r="C29" s="200" t="s">
        <v>342</v>
      </c>
      <c r="D29" s="200" t="s">
        <v>340</v>
      </c>
      <c r="E29" s="201">
        <v>227.79489799999999</v>
      </c>
      <c r="F29" s="202"/>
      <c r="G29" s="202"/>
      <c r="H29" s="207"/>
      <c r="I29" s="207"/>
    </row>
    <row r="30" spans="1:255" x14ac:dyDescent="0.2">
      <c r="A30" s="195"/>
      <c r="B30" s="195"/>
      <c r="C30" s="196" t="s">
        <v>640</v>
      </c>
      <c r="D30" s="195"/>
      <c r="E30" s="195"/>
      <c r="F30" s="195"/>
      <c r="G30" s="197"/>
      <c r="H30" s="195"/>
      <c r="I30" s="195"/>
      <c r="J30" s="21"/>
      <c r="K30" s="177">
        <f>G30</f>
        <v>0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</row>
    <row r="31" spans="1:255" x14ac:dyDescent="0.2">
      <c r="A31" s="30"/>
      <c r="B31" s="74"/>
      <c r="C31" s="74"/>
      <c r="D31" s="74"/>
      <c r="E31" s="74"/>
      <c r="F31" s="74"/>
      <c r="G31" s="208"/>
      <c r="H31" s="74"/>
      <c r="I31" s="208"/>
    </row>
    <row r="32" spans="1:255" x14ac:dyDescent="0.2">
      <c r="A32" s="198"/>
      <c r="B32" s="198" t="s">
        <v>699</v>
      </c>
      <c r="C32" s="198"/>
      <c r="D32" s="198"/>
      <c r="E32" s="198"/>
      <c r="F32" s="198"/>
      <c r="G32" s="192"/>
      <c r="H32" s="192"/>
      <c r="I32" s="192"/>
    </row>
    <row r="33" spans="1:255" s="40" customFormat="1" ht="24" x14ac:dyDescent="0.2">
      <c r="A33" s="199">
        <v>9</v>
      </c>
      <c r="B33" s="200" t="s">
        <v>469</v>
      </c>
      <c r="C33" s="200" t="s">
        <v>471</v>
      </c>
      <c r="D33" s="200" t="s">
        <v>346</v>
      </c>
      <c r="E33" s="201">
        <v>12.146420000000001</v>
      </c>
      <c r="F33" s="202"/>
      <c r="G33" s="202"/>
      <c r="H33" s="203"/>
      <c r="I33" s="203"/>
    </row>
    <row r="34" spans="1:255" s="40" customFormat="1" ht="24" x14ac:dyDescent="0.2">
      <c r="A34" s="199">
        <v>10</v>
      </c>
      <c r="B34" s="200" t="s">
        <v>343</v>
      </c>
      <c r="C34" s="200" t="s">
        <v>345</v>
      </c>
      <c r="D34" s="200" t="s">
        <v>346</v>
      </c>
      <c r="E34" s="201">
        <v>24.641058000000001</v>
      </c>
      <c r="F34" s="202"/>
      <c r="G34" s="202"/>
      <c r="H34" s="203"/>
      <c r="I34" s="203"/>
    </row>
    <row r="35" spans="1:255" s="40" customFormat="1" ht="36" x14ac:dyDescent="0.2">
      <c r="A35" s="199">
        <v>11</v>
      </c>
      <c r="B35" s="200" t="s">
        <v>348</v>
      </c>
      <c r="C35" s="200" t="s">
        <v>350</v>
      </c>
      <c r="D35" s="200" t="s">
        <v>346</v>
      </c>
      <c r="E35" s="201">
        <v>59.590440000000001</v>
      </c>
      <c r="F35" s="202"/>
      <c r="G35" s="202"/>
      <c r="H35" s="203"/>
      <c r="I35" s="203"/>
    </row>
    <row r="36" spans="1:255" s="40" customFormat="1" ht="24" x14ac:dyDescent="0.2">
      <c r="A36" s="199">
        <v>12</v>
      </c>
      <c r="B36" s="200" t="s">
        <v>361</v>
      </c>
      <c r="C36" s="200" t="s">
        <v>363</v>
      </c>
      <c r="D36" s="200" t="s">
        <v>346</v>
      </c>
      <c r="E36" s="201">
        <v>77.188299999999998</v>
      </c>
      <c r="F36" s="202"/>
      <c r="G36" s="202"/>
      <c r="H36" s="203"/>
      <c r="I36" s="203"/>
    </row>
    <row r="37" spans="1:255" s="40" customFormat="1" ht="24" x14ac:dyDescent="0.2">
      <c r="A37" s="199">
        <v>13</v>
      </c>
      <c r="B37" s="200" t="s">
        <v>422</v>
      </c>
      <c r="C37" s="200" t="s">
        <v>424</v>
      </c>
      <c r="D37" s="200" t="s">
        <v>346</v>
      </c>
      <c r="E37" s="201">
        <v>0.28000000000000003</v>
      </c>
      <c r="F37" s="202"/>
      <c r="G37" s="202"/>
      <c r="H37" s="203"/>
      <c r="I37" s="203"/>
    </row>
    <row r="38" spans="1:255" s="40" customFormat="1" ht="24" x14ac:dyDescent="0.2">
      <c r="A38" s="199">
        <v>14</v>
      </c>
      <c r="B38" s="200" t="s">
        <v>425</v>
      </c>
      <c r="C38" s="200" t="s">
        <v>427</v>
      </c>
      <c r="D38" s="200" t="s">
        <v>346</v>
      </c>
      <c r="E38" s="201">
        <v>0.34</v>
      </c>
      <c r="F38" s="202"/>
      <c r="G38" s="202"/>
      <c r="H38" s="203"/>
      <c r="I38" s="203"/>
    </row>
    <row r="39" spans="1:255" s="40" customFormat="1" ht="24" x14ac:dyDescent="0.2">
      <c r="A39" s="199">
        <v>15</v>
      </c>
      <c r="B39" s="200" t="s">
        <v>356</v>
      </c>
      <c r="C39" s="200" t="s">
        <v>358</v>
      </c>
      <c r="D39" s="200" t="s">
        <v>346</v>
      </c>
      <c r="E39" s="201">
        <v>1.6319999999999999</v>
      </c>
      <c r="F39" s="202"/>
      <c r="G39" s="202"/>
      <c r="H39" s="203"/>
      <c r="I39" s="203"/>
    </row>
    <row r="40" spans="1:255" s="40" customFormat="1" ht="24" x14ac:dyDescent="0.2">
      <c r="A40" s="199">
        <v>16</v>
      </c>
      <c r="B40" s="200" t="s">
        <v>372</v>
      </c>
      <c r="C40" s="200" t="s">
        <v>374</v>
      </c>
      <c r="D40" s="200" t="s">
        <v>346</v>
      </c>
      <c r="E40" s="201">
        <v>1.9858</v>
      </c>
      <c r="F40" s="202"/>
      <c r="G40" s="202"/>
      <c r="H40" s="203"/>
      <c r="I40" s="203"/>
    </row>
    <row r="41" spans="1:255" s="40" customFormat="1" ht="36" x14ac:dyDescent="0.2">
      <c r="A41" s="199">
        <v>17</v>
      </c>
      <c r="B41" s="200" t="s">
        <v>472</v>
      </c>
      <c r="C41" s="200" t="s">
        <v>474</v>
      </c>
      <c r="D41" s="200" t="s">
        <v>346</v>
      </c>
      <c r="E41" s="201">
        <v>158.23500000000001</v>
      </c>
      <c r="F41" s="202"/>
      <c r="G41" s="202"/>
      <c r="H41" s="203"/>
      <c r="I41" s="203"/>
    </row>
    <row r="42" spans="1:255" s="40" customFormat="1" ht="24" x14ac:dyDescent="0.2">
      <c r="A42" s="199">
        <v>18</v>
      </c>
      <c r="B42" s="200" t="s">
        <v>364</v>
      </c>
      <c r="C42" s="200" t="s">
        <v>366</v>
      </c>
      <c r="D42" s="200" t="s">
        <v>346</v>
      </c>
      <c r="E42" s="201">
        <v>12.3872</v>
      </c>
      <c r="F42" s="202"/>
      <c r="G42" s="202"/>
      <c r="H42" s="203"/>
      <c r="I42" s="203"/>
    </row>
    <row r="43" spans="1:255" s="40" customFormat="1" ht="24" x14ac:dyDescent="0.2">
      <c r="A43" s="199">
        <v>19</v>
      </c>
      <c r="B43" s="200" t="s">
        <v>351</v>
      </c>
      <c r="C43" s="200" t="s">
        <v>353</v>
      </c>
      <c r="D43" s="200" t="s">
        <v>346</v>
      </c>
      <c r="E43" s="201">
        <v>0.10607999999999999</v>
      </c>
      <c r="F43" s="202"/>
      <c r="G43" s="202"/>
      <c r="H43" s="203"/>
      <c r="I43" s="203"/>
    </row>
    <row r="44" spans="1:255" s="40" customFormat="1" ht="24" x14ac:dyDescent="0.2">
      <c r="A44" s="199">
        <v>20</v>
      </c>
      <c r="B44" s="200" t="s">
        <v>428</v>
      </c>
      <c r="C44" s="200" t="s">
        <v>430</v>
      </c>
      <c r="D44" s="200" t="s">
        <v>346</v>
      </c>
      <c r="E44" s="201">
        <v>0.15</v>
      </c>
      <c r="F44" s="202"/>
      <c r="G44" s="202"/>
      <c r="H44" s="203"/>
      <c r="I44" s="203"/>
    </row>
    <row r="45" spans="1:255" s="40" customFormat="1" ht="24" x14ac:dyDescent="0.2">
      <c r="A45" s="199">
        <v>21</v>
      </c>
      <c r="B45" s="200" t="s">
        <v>431</v>
      </c>
      <c r="C45" s="200" t="s">
        <v>433</v>
      </c>
      <c r="D45" s="200" t="s">
        <v>346</v>
      </c>
      <c r="E45" s="201">
        <v>2.52</v>
      </c>
      <c r="F45" s="202"/>
      <c r="G45" s="202"/>
      <c r="H45" s="203"/>
      <c r="I45" s="203"/>
    </row>
    <row r="46" spans="1:255" s="40" customFormat="1" ht="48" x14ac:dyDescent="0.2">
      <c r="A46" s="199">
        <v>22</v>
      </c>
      <c r="B46" s="200" t="s">
        <v>475</v>
      </c>
      <c r="C46" s="200" t="s">
        <v>477</v>
      </c>
      <c r="D46" s="200" t="s">
        <v>346</v>
      </c>
      <c r="E46" s="201">
        <v>39.483400000000003</v>
      </c>
      <c r="F46" s="202"/>
      <c r="G46" s="202"/>
      <c r="H46" s="203"/>
      <c r="I46" s="203"/>
    </row>
    <row r="47" spans="1:255" x14ac:dyDescent="0.2">
      <c r="A47" s="192"/>
      <c r="B47" s="192"/>
      <c r="C47" s="193" t="s">
        <v>640</v>
      </c>
      <c r="D47" s="192"/>
      <c r="E47" s="192"/>
      <c r="F47" s="192"/>
      <c r="G47" s="194"/>
      <c r="H47" s="192"/>
      <c r="I47" s="192"/>
      <c r="J47" s="21"/>
      <c r="K47" s="21"/>
      <c r="L47" s="177">
        <f>G47</f>
        <v>0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</row>
    <row r="48" spans="1:255" x14ac:dyDescent="0.2">
      <c r="A48" s="192"/>
      <c r="B48" s="192"/>
      <c r="C48" s="192"/>
      <c r="D48" s="192"/>
      <c r="E48" s="192"/>
      <c r="F48" s="192"/>
      <c r="G48" s="192"/>
      <c r="H48" s="192"/>
      <c r="I48" s="192"/>
    </row>
    <row r="49" spans="1:9" x14ac:dyDescent="0.2">
      <c r="A49" s="198"/>
      <c r="B49" s="198" t="s">
        <v>700</v>
      </c>
      <c r="C49" s="198"/>
      <c r="D49" s="198"/>
      <c r="E49" s="198"/>
      <c r="F49" s="198"/>
      <c r="G49" s="192"/>
      <c r="H49" s="192"/>
      <c r="I49" s="192"/>
    </row>
    <row r="50" spans="1:9" s="40" customFormat="1" ht="24" x14ac:dyDescent="0.2">
      <c r="A50" s="199">
        <v>23</v>
      </c>
      <c r="B50" s="200" t="s">
        <v>404</v>
      </c>
      <c r="C50" s="200" t="s">
        <v>406</v>
      </c>
      <c r="D50" s="200" t="s">
        <v>129</v>
      </c>
      <c r="E50" s="201">
        <v>3.9E-2</v>
      </c>
      <c r="F50" s="202"/>
      <c r="G50" s="202"/>
      <c r="H50" s="203"/>
      <c r="I50" s="203"/>
    </row>
    <row r="51" spans="1:9" s="40" customFormat="1" ht="24" x14ac:dyDescent="0.2">
      <c r="A51" s="199">
        <v>24</v>
      </c>
      <c r="B51" s="200" t="s">
        <v>375</v>
      </c>
      <c r="C51" s="200" t="s">
        <v>377</v>
      </c>
      <c r="D51" s="200" t="s">
        <v>129</v>
      </c>
      <c r="E51" s="201">
        <v>0.22220000000000001</v>
      </c>
      <c r="F51" s="202"/>
      <c r="G51" s="202"/>
      <c r="H51" s="203"/>
      <c r="I51" s="203"/>
    </row>
    <row r="52" spans="1:9" s="40" customFormat="1" ht="36" x14ac:dyDescent="0.2">
      <c r="A52" s="199">
        <v>25</v>
      </c>
      <c r="B52" s="200" t="s">
        <v>378</v>
      </c>
      <c r="C52" s="200" t="s">
        <v>380</v>
      </c>
      <c r="D52" s="200" t="s">
        <v>129</v>
      </c>
      <c r="E52" s="201">
        <v>4.7219999999999998E-2</v>
      </c>
      <c r="F52" s="202"/>
      <c r="G52" s="202"/>
      <c r="H52" s="203"/>
      <c r="I52" s="203"/>
    </row>
    <row r="53" spans="1:9" s="40" customFormat="1" ht="24" x14ac:dyDescent="0.2">
      <c r="A53" s="199">
        <v>26</v>
      </c>
      <c r="B53" s="200" t="s">
        <v>434</v>
      </c>
      <c r="C53" s="200" t="s">
        <v>436</v>
      </c>
      <c r="D53" s="200" t="s">
        <v>33</v>
      </c>
      <c r="E53" s="201">
        <v>1.4</v>
      </c>
      <c r="F53" s="202"/>
      <c r="G53" s="202"/>
      <c r="H53" s="203"/>
      <c r="I53" s="203"/>
    </row>
    <row r="54" spans="1:9" s="40" customFormat="1" ht="24" x14ac:dyDescent="0.2">
      <c r="A54" s="199">
        <v>27</v>
      </c>
      <c r="B54" s="200" t="s">
        <v>437</v>
      </c>
      <c r="C54" s="200" t="s">
        <v>439</v>
      </c>
      <c r="D54" s="200" t="s">
        <v>440</v>
      </c>
      <c r="E54" s="201">
        <v>0.24</v>
      </c>
      <c r="F54" s="202"/>
      <c r="G54" s="202"/>
      <c r="H54" s="203"/>
      <c r="I54" s="203"/>
    </row>
    <row r="55" spans="1:9" s="40" customFormat="1" ht="24" x14ac:dyDescent="0.2">
      <c r="A55" s="199">
        <v>28</v>
      </c>
      <c r="B55" s="200" t="s">
        <v>367</v>
      </c>
      <c r="C55" s="200" t="s">
        <v>369</v>
      </c>
      <c r="D55" s="200" t="s">
        <v>33</v>
      </c>
      <c r="E55" s="201">
        <v>147.628546</v>
      </c>
      <c r="F55" s="202"/>
      <c r="G55" s="202"/>
      <c r="H55" s="203"/>
      <c r="I55" s="203"/>
    </row>
    <row r="56" spans="1:9" s="40" customFormat="1" ht="24" x14ac:dyDescent="0.2">
      <c r="A56" s="199">
        <v>29</v>
      </c>
      <c r="B56" s="200" t="s">
        <v>381</v>
      </c>
      <c r="C56" s="200" t="s">
        <v>383</v>
      </c>
      <c r="D56" s="200" t="s">
        <v>129</v>
      </c>
      <c r="E56" s="201">
        <v>0.1764</v>
      </c>
      <c r="F56" s="202"/>
      <c r="G56" s="202"/>
      <c r="H56" s="203"/>
      <c r="I56" s="203"/>
    </row>
    <row r="57" spans="1:9" s="40" customFormat="1" ht="24" x14ac:dyDescent="0.2">
      <c r="A57" s="199">
        <v>30</v>
      </c>
      <c r="B57" s="200" t="s">
        <v>441</v>
      </c>
      <c r="C57" s="200" t="s">
        <v>443</v>
      </c>
      <c r="D57" s="200" t="s">
        <v>129</v>
      </c>
      <c r="E57" s="201">
        <v>3.5000000000000001E-3</v>
      </c>
      <c r="F57" s="202"/>
      <c r="G57" s="202"/>
      <c r="H57" s="203"/>
      <c r="I57" s="203"/>
    </row>
    <row r="58" spans="1:9" s="40" customFormat="1" ht="24" x14ac:dyDescent="0.2">
      <c r="A58" s="199">
        <v>31</v>
      </c>
      <c r="B58" s="200" t="s">
        <v>407</v>
      </c>
      <c r="C58" s="200" t="s">
        <v>409</v>
      </c>
      <c r="D58" s="200" t="s">
        <v>129</v>
      </c>
      <c r="E58" s="201">
        <v>1.56E-4</v>
      </c>
      <c r="F58" s="202"/>
      <c r="G58" s="202"/>
      <c r="H58" s="203"/>
      <c r="I58" s="203"/>
    </row>
    <row r="59" spans="1:9" s="40" customFormat="1" ht="24" x14ac:dyDescent="0.2">
      <c r="A59" s="199">
        <v>32</v>
      </c>
      <c r="B59" s="200" t="s">
        <v>410</v>
      </c>
      <c r="C59" s="200" t="s">
        <v>412</v>
      </c>
      <c r="D59" s="200" t="s">
        <v>99</v>
      </c>
      <c r="E59" s="201">
        <v>30.263999999999999</v>
      </c>
      <c r="F59" s="202"/>
      <c r="G59" s="202"/>
      <c r="H59" s="203"/>
      <c r="I59" s="203"/>
    </row>
    <row r="60" spans="1:9" s="40" customFormat="1" ht="24" x14ac:dyDescent="0.2">
      <c r="A60" s="199">
        <v>33</v>
      </c>
      <c r="B60" s="200" t="s">
        <v>384</v>
      </c>
      <c r="C60" s="200" t="s">
        <v>386</v>
      </c>
      <c r="D60" s="200" t="s">
        <v>129</v>
      </c>
      <c r="E60" s="201">
        <v>3.9609999999999999E-2</v>
      </c>
      <c r="F60" s="202"/>
      <c r="G60" s="202"/>
      <c r="H60" s="203"/>
      <c r="I60" s="203"/>
    </row>
    <row r="61" spans="1:9" s="40" customFormat="1" ht="48" x14ac:dyDescent="0.2">
      <c r="A61" s="199">
        <v>34</v>
      </c>
      <c r="B61" s="200" t="s">
        <v>75</v>
      </c>
      <c r="C61" s="200" t="s">
        <v>76</v>
      </c>
      <c r="D61" s="200" t="s">
        <v>33</v>
      </c>
      <c r="E61" s="201">
        <v>476.29999999999995</v>
      </c>
      <c r="F61" s="202"/>
      <c r="G61" s="202"/>
      <c r="H61" s="203"/>
      <c r="I61" s="203"/>
    </row>
    <row r="62" spans="1:9" s="40" customFormat="1" ht="24" x14ac:dyDescent="0.2">
      <c r="A62" s="199">
        <v>35</v>
      </c>
      <c r="B62" s="200" t="s">
        <v>458</v>
      </c>
      <c r="C62" s="200" t="s">
        <v>460</v>
      </c>
      <c r="D62" s="200" t="s">
        <v>33</v>
      </c>
      <c r="E62" s="201">
        <v>0</v>
      </c>
      <c r="F62" s="202"/>
      <c r="G62" s="202"/>
      <c r="H62" s="203"/>
      <c r="I62" s="203"/>
    </row>
    <row r="63" spans="1:9" s="40" customFormat="1" ht="24" x14ac:dyDescent="0.2">
      <c r="A63" s="199">
        <v>36</v>
      </c>
      <c r="B63" s="200" t="s">
        <v>413</v>
      </c>
      <c r="C63" s="200" t="s">
        <v>415</v>
      </c>
      <c r="D63" s="200" t="s">
        <v>129</v>
      </c>
      <c r="E63" s="201">
        <v>1.95E-4</v>
      </c>
      <c r="F63" s="202"/>
      <c r="G63" s="202"/>
      <c r="H63" s="203"/>
      <c r="I63" s="203"/>
    </row>
    <row r="64" spans="1:9" s="40" customFormat="1" ht="36" x14ac:dyDescent="0.2">
      <c r="A64" s="199">
        <v>37</v>
      </c>
      <c r="B64" s="200" t="s">
        <v>387</v>
      </c>
      <c r="C64" s="200" t="s">
        <v>389</v>
      </c>
      <c r="D64" s="200" t="s">
        <v>129</v>
      </c>
      <c r="E64" s="201">
        <v>2.3518000000000001E-2</v>
      </c>
      <c r="F64" s="202"/>
      <c r="G64" s="202"/>
      <c r="H64" s="203"/>
      <c r="I64" s="203"/>
    </row>
    <row r="65" spans="1:9" s="40" customFormat="1" ht="24" x14ac:dyDescent="0.2">
      <c r="A65" s="199">
        <v>38</v>
      </c>
      <c r="B65" s="200" t="s">
        <v>461</v>
      </c>
      <c r="C65" s="200" t="s">
        <v>463</v>
      </c>
      <c r="D65" s="200" t="s">
        <v>129</v>
      </c>
      <c r="E65" s="201">
        <v>0</v>
      </c>
      <c r="F65" s="202"/>
      <c r="G65" s="202"/>
      <c r="H65" s="203"/>
      <c r="I65" s="203"/>
    </row>
    <row r="66" spans="1:9" s="40" customFormat="1" ht="24" x14ac:dyDescent="0.2">
      <c r="A66" s="199">
        <v>39</v>
      </c>
      <c r="B66" s="200" t="s">
        <v>390</v>
      </c>
      <c r="C66" s="200" t="s">
        <v>392</v>
      </c>
      <c r="D66" s="200" t="s">
        <v>33</v>
      </c>
      <c r="E66" s="201">
        <v>3.8807</v>
      </c>
      <c r="F66" s="202"/>
      <c r="G66" s="202"/>
      <c r="H66" s="203"/>
      <c r="I66" s="203"/>
    </row>
    <row r="67" spans="1:9" s="40" customFormat="1" ht="24" x14ac:dyDescent="0.2">
      <c r="A67" s="199">
        <v>40</v>
      </c>
      <c r="B67" s="200" t="s">
        <v>464</v>
      </c>
      <c r="C67" s="200" t="s">
        <v>466</v>
      </c>
      <c r="D67" s="200" t="s">
        <v>33</v>
      </c>
      <c r="E67" s="201">
        <v>0</v>
      </c>
      <c r="F67" s="202"/>
      <c r="G67" s="202"/>
      <c r="H67" s="203"/>
      <c r="I67" s="203"/>
    </row>
    <row r="68" spans="1:9" s="40" customFormat="1" ht="24" x14ac:dyDescent="0.2">
      <c r="A68" s="199">
        <v>41</v>
      </c>
      <c r="B68" s="200" t="s">
        <v>102</v>
      </c>
      <c r="C68" s="200" t="s">
        <v>103</v>
      </c>
      <c r="D68" s="200" t="s">
        <v>33</v>
      </c>
      <c r="E68" s="201">
        <v>4.133</v>
      </c>
      <c r="F68" s="202"/>
      <c r="G68" s="202"/>
      <c r="H68" s="203"/>
      <c r="I68" s="203"/>
    </row>
    <row r="69" spans="1:9" s="40" customFormat="1" ht="24" x14ac:dyDescent="0.2">
      <c r="A69" s="199">
        <v>42</v>
      </c>
      <c r="B69" s="200" t="s">
        <v>393</v>
      </c>
      <c r="C69" s="200" t="s">
        <v>395</v>
      </c>
      <c r="D69" s="200" t="s">
        <v>129</v>
      </c>
      <c r="E69" s="201">
        <v>0.6613</v>
      </c>
      <c r="F69" s="202"/>
      <c r="G69" s="202"/>
      <c r="H69" s="203"/>
      <c r="I69" s="203"/>
    </row>
    <row r="70" spans="1:9" s="40" customFormat="1" ht="24" x14ac:dyDescent="0.2">
      <c r="A70" s="199">
        <v>43</v>
      </c>
      <c r="B70" s="200" t="s">
        <v>396</v>
      </c>
      <c r="C70" s="200" t="s">
        <v>398</v>
      </c>
      <c r="D70" s="200" t="s">
        <v>33</v>
      </c>
      <c r="E70" s="201">
        <v>0.134795</v>
      </c>
      <c r="F70" s="202"/>
      <c r="G70" s="202"/>
      <c r="H70" s="203"/>
      <c r="I70" s="203"/>
    </row>
    <row r="71" spans="1:9" s="40" customFormat="1" ht="24" x14ac:dyDescent="0.2">
      <c r="A71" s="199">
        <v>44</v>
      </c>
      <c r="B71" s="200" t="s">
        <v>399</v>
      </c>
      <c r="C71" s="200" t="s">
        <v>401</v>
      </c>
      <c r="D71" s="200" t="s">
        <v>33</v>
      </c>
      <c r="E71" s="201">
        <v>1.6827999999999999</v>
      </c>
      <c r="F71" s="202"/>
      <c r="G71" s="202"/>
      <c r="H71" s="203"/>
      <c r="I71" s="203"/>
    </row>
    <row r="72" spans="1:9" s="40" customFormat="1" ht="24" x14ac:dyDescent="0.2">
      <c r="A72" s="199">
        <v>45</v>
      </c>
      <c r="B72" s="200" t="s">
        <v>416</v>
      </c>
      <c r="C72" s="200" t="s">
        <v>418</v>
      </c>
      <c r="D72" s="200" t="s">
        <v>33</v>
      </c>
      <c r="E72" s="201">
        <v>0.312</v>
      </c>
      <c r="F72" s="202"/>
      <c r="G72" s="202"/>
      <c r="H72" s="203"/>
      <c r="I72" s="203"/>
    </row>
    <row r="73" spans="1:9" s="40" customFormat="1" ht="24" x14ac:dyDescent="0.2">
      <c r="A73" s="199">
        <v>46</v>
      </c>
      <c r="B73" s="200" t="s">
        <v>155</v>
      </c>
      <c r="C73" s="200" t="s">
        <v>156</v>
      </c>
      <c r="D73" s="200" t="s">
        <v>33</v>
      </c>
      <c r="E73" s="201">
        <v>0.154</v>
      </c>
      <c r="F73" s="202"/>
      <c r="G73" s="202"/>
      <c r="H73" s="203"/>
      <c r="I73" s="203"/>
    </row>
    <row r="74" spans="1:9" s="40" customFormat="1" ht="36" x14ac:dyDescent="0.2">
      <c r="A74" s="199">
        <v>47</v>
      </c>
      <c r="B74" s="200" t="s">
        <v>123</v>
      </c>
      <c r="C74" s="200" t="s">
        <v>124</v>
      </c>
      <c r="D74" s="200" t="s">
        <v>99</v>
      </c>
      <c r="E74" s="201">
        <v>15</v>
      </c>
      <c r="F74" s="202"/>
      <c r="G74" s="202"/>
      <c r="H74" s="203"/>
      <c r="I74" s="203"/>
    </row>
    <row r="75" spans="1:9" s="40" customFormat="1" ht="36" x14ac:dyDescent="0.2">
      <c r="A75" s="199">
        <v>48</v>
      </c>
      <c r="B75" s="200" t="s">
        <v>119</v>
      </c>
      <c r="C75" s="200" t="s">
        <v>120</v>
      </c>
      <c r="D75" s="200" t="s">
        <v>99</v>
      </c>
      <c r="E75" s="201">
        <v>15</v>
      </c>
      <c r="F75" s="202"/>
      <c r="G75" s="202"/>
      <c r="H75" s="203"/>
      <c r="I75" s="203"/>
    </row>
    <row r="76" spans="1:9" s="40" customFormat="1" ht="36" x14ac:dyDescent="0.2">
      <c r="A76" s="199">
        <v>49</v>
      </c>
      <c r="B76" s="200" t="s">
        <v>111</v>
      </c>
      <c r="C76" s="200" t="s">
        <v>112</v>
      </c>
      <c r="D76" s="200" t="s">
        <v>99</v>
      </c>
      <c r="E76" s="201">
        <v>15</v>
      </c>
      <c r="F76" s="202"/>
      <c r="G76" s="202"/>
      <c r="H76" s="203"/>
      <c r="I76" s="203"/>
    </row>
    <row r="77" spans="1:9" s="40" customFormat="1" ht="36" x14ac:dyDescent="0.2">
      <c r="A77" s="199">
        <v>50</v>
      </c>
      <c r="B77" s="200" t="s">
        <v>107</v>
      </c>
      <c r="C77" s="200" t="s">
        <v>108</v>
      </c>
      <c r="D77" s="200" t="s">
        <v>99</v>
      </c>
      <c r="E77" s="201">
        <v>15</v>
      </c>
      <c r="F77" s="202"/>
      <c r="G77" s="202"/>
      <c r="H77" s="203"/>
      <c r="I77" s="203"/>
    </row>
    <row r="78" spans="1:9" s="40" customFormat="1" ht="36" x14ac:dyDescent="0.2">
      <c r="A78" s="199">
        <v>51</v>
      </c>
      <c r="B78" s="200" t="s">
        <v>168</v>
      </c>
      <c r="C78" s="200" t="s">
        <v>169</v>
      </c>
      <c r="D78" s="200" t="s">
        <v>99</v>
      </c>
      <c r="E78" s="201">
        <v>11</v>
      </c>
      <c r="F78" s="202"/>
      <c r="G78" s="202"/>
      <c r="H78" s="203"/>
      <c r="I78" s="203"/>
    </row>
    <row r="79" spans="1:9" s="40" customFormat="1" ht="36" x14ac:dyDescent="0.2">
      <c r="A79" s="199">
        <v>52</v>
      </c>
      <c r="B79" s="200" t="s">
        <v>146</v>
      </c>
      <c r="C79" s="200" t="s">
        <v>147</v>
      </c>
      <c r="D79" s="200" t="s">
        <v>99</v>
      </c>
      <c r="E79" s="201">
        <v>2</v>
      </c>
      <c r="F79" s="202"/>
      <c r="G79" s="202"/>
      <c r="H79" s="203"/>
      <c r="I79" s="203"/>
    </row>
    <row r="80" spans="1:9" s="40" customFormat="1" ht="36" x14ac:dyDescent="0.2">
      <c r="A80" s="199">
        <v>53</v>
      </c>
      <c r="B80" s="200" t="s">
        <v>142</v>
      </c>
      <c r="C80" s="200" t="s">
        <v>143</v>
      </c>
      <c r="D80" s="200" t="s">
        <v>99</v>
      </c>
      <c r="E80" s="201">
        <v>1</v>
      </c>
      <c r="F80" s="202"/>
      <c r="G80" s="202"/>
      <c r="H80" s="203"/>
      <c r="I80" s="203"/>
    </row>
    <row r="81" spans="1:255" s="40" customFormat="1" ht="36" x14ac:dyDescent="0.2">
      <c r="A81" s="199">
        <v>54</v>
      </c>
      <c r="B81" s="200" t="s">
        <v>97</v>
      </c>
      <c r="C81" s="200" t="s">
        <v>98</v>
      </c>
      <c r="D81" s="200" t="s">
        <v>99</v>
      </c>
      <c r="E81" s="201">
        <v>26</v>
      </c>
      <c r="F81" s="202"/>
      <c r="G81" s="202"/>
      <c r="H81" s="203"/>
      <c r="I81" s="203"/>
    </row>
    <row r="82" spans="1:255" s="40" customFormat="1" ht="36" x14ac:dyDescent="0.2">
      <c r="A82" s="199">
        <v>55</v>
      </c>
      <c r="B82" s="200" t="s">
        <v>150</v>
      </c>
      <c r="C82" s="200" t="s">
        <v>151</v>
      </c>
      <c r="D82" s="200" t="s">
        <v>99</v>
      </c>
      <c r="E82" s="201">
        <v>1</v>
      </c>
      <c r="F82" s="202"/>
      <c r="G82" s="202"/>
      <c r="H82" s="203"/>
      <c r="I82" s="203"/>
    </row>
    <row r="83" spans="1:255" s="40" customFormat="1" ht="36" x14ac:dyDescent="0.2">
      <c r="A83" s="199">
        <v>56</v>
      </c>
      <c r="B83" s="200" t="s">
        <v>172</v>
      </c>
      <c r="C83" s="200" t="s">
        <v>173</v>
      </c>
      <c r="D83" s="200" t="s">
        <v>33</v>
      </c>
      <c r="E83" s="201">
        <v>0.99</v>
      </c>
      <c r="F83" s="202"/>
      <c r="G83" s="202"/>
      <c r="H83" s="203"/>
      <c r="I83" s="203"/>
    </row>
    <row r="84" spans="1:255" s="40" customFormat="1" ht="36" x14ac:dyDescent="0.2">
      <c r="A84" s="199">
        <v>57</v>
      </c>
      <c r="B84" s="200" t="s">
        <v>115</v>
      </c>
      <c r="C84" s="200" t="s">
        <v>116</v>
      </c>
      <c r="D84" s="200" t="s">
        <v>99</v>
      </c>
      <c r="E84" s="201">
        <v>16</v>
      </c>
      <c r="F84" s="202"/>
      <c r="G84" s="202"/>
      <c r="H84" s="203"/>
      <c r="I84" s="203"/>
    </row>
    <row r="85" spans="1:255" s="40" customFormat="1" ht="36" x14ac:dyDescent="0.2">
      <c r="A85" s="199">
        <v>58</v>
      </c>
      <c r="B85" s="200" t="s">
        <v>127</v>
      </c>
      <c r="C85" s="200" t="s">
        <v>128</v>
      </c>
      <c r="D85" s="200" t="s">
        <v>129</v>
      </c>
      <c r="E85" s="201">
        <v>0.19919999999999999</v>
      </c>
      <c r="F85" s="202"/>
      <c r="G85" s="202"/>
      <c r="H85" s="203"/>
      <c r="I85" s="203"/>
    </row>
    <row r="86" spans="1:255" s="40" customFormat="1" ht="24" x14ac:dyDescent="0.2">
      <c r="A86" s="199">
        <v>59</v>
      </c>
      <c r="B86" s="200" t="s">
        <v>444</v>
      </c>
      <c r="C86" s="200" t="s">
        <v>446</v>
      </c>
      <c r="D86" s="200" t="s">
        <v>440</v>
      </c>
      <c r="E86" s="201">
        <v>15.2</v>
      </c>
      <c r="F86" s="202"/>
      <c r="G86" s="202"/>
      <c r="H86" s="203"/>
      <c r="I86" s="203"/>
    </row>
    <row r="87" spans="1:255" s="40" customFormat="1" ht="24" x14ac:dyDescent="0.2">
      <c r="A87" s="199">
        <v>60</v>
      </c>
      <c r="B87" s="200" t="s">
        <v>132</v>
      </c>
      <c r="C87" s="200" t="s">
        <v>133</v>
      </c>
      <c r="D87" s="200" t="s">
        <v>99</v>
      </c>
      <c r="E87" s="201">
        <v>16</v>
      </c>
      <c r="F87" s="202"/>
      <c r="G87" s="202"/>
      <c r="H87" s="204"/>
      <c r="I87" s="204"/>
    </row>
    <row r="88" spans="1:255" s="40" customFormat="1" ht="24" x14ac:dyDescent="0.2">
      <c r="A88" s="199">
        <v>61</v>
      </c>
      <c r="B88" s="200" t="s">
        <v>176</v>
      </c>
      <c r="C88" s="200" t="s">
        <v>177</v>
      </c>
      <c r="D88" s="200" t="s">
        <v>99</v>
      </c>
      <c r="E88" s="201">
        <v>11</v>
      </c>
      <c r="F88" s="202"/>
      <c r="G88" s="202"/>
      <c r="H88" s="204"/>
      <c r="I88" s="204"/>
    </row>
    <row r="89" spans="1:255" s="40" customFormat="1" ht="36" x14ac:dyDescent="0.2">
      <c r="A89" s="199">
        <v>62</v>
      </c>
      <c r="B89" s="200" t="s">
        <v>447</v>
      </c>
      <c r="C89" s="200" t="s">
        <v>449</v>
      </c>
      <c r="D89" s="200" t="s">
        <v>440</v>
      </c>
      <c r="E89" s="201">
        <v>2</v>
      </c>
      <c r="F89" s="202"/>
      <c r="G89" s="202"/>
      <c r="H89" s="203"/>
      <c r="I89" s="203"/>
    </row>
    <row r="90" spans="1:255" s="40" customFormat="1" ht="36" x14ac:dyDescent="0.2">
      <c r="A90" s="199">
        <v>63</v>
      </c>
      <c r="B90" s="200" t="s">
        <v>419</v>
      </c>
      <c r="C90" s="200" t="s">
        <v>421</v>
      </c>
      <c r="D90" s="200" t="s">
        <v>33</v>
      </c>
      <c r="E90" s="201">
        <v>1.248E-2</v>
      </c>
      <c r="F90" s="202"/>
      <c r="G90" s="202"/>
      <c r="H90" s="203"/>
      <c r="I90" s="203"/>
    </row>
    <row r="91" spans="1:255" s="40" customFormat="1" ht="24" x14ac:dyDescent="0.2">
      <c r="A91" s="199">
        <v>64</v>
      </c>
      <c r="B91" s="200" t="s">
        <v>450</v>
      </c>
      <c r="C91" s="200" t="s">
        <v>452</v>
      </c>
      <c r="D91" s="200" t="s">
        <v>99</v>
      </c>
      <c r="E91" s="201">
        <v>2</v>
      </c>
      <c r="F91" s="202"/>
      <c r="G91" s="202"/>
      <c r="H91" s="203"/>
      <c r="I91" s="203"/>
    </row>
    <row r="92" spans="1:255" s="40" customFormat="1" ht="24" x14ac:dyDescent="0.2">
      <c r="A92" s="199">
        <v>65</v>
      </c>
      <c r="B92" s="200" t="s">
        <v>453</v>
      </c>
      <c r="C92" s="200" t="s">
        <v>454</v>
      </c>
      <c r="D92" s="200" t="s">
        <v>455</v>
      </c>
      <c r="E92" s="201">
        <v>3.62</v>
      </c>
      <c r="F92" s="202"/>
      <c r="G92" s="202"/>
      <c r="H92" s="203"/>
      <c r="I92" s="203"/>
    </row>
    <row r="93" spans="1:255" s="40" customFormat="1" ht="36" x14ac:dyDescent="0.2">
      <c r="A93" s="199">
        <v>66</v>
      </c>
      <c r="B93" s="200" t="s">
        <v>84</v>
      </c>
      <c r="C93" s="200" t="s">
        <v>85</v>
      </c>
      <c r="D93" s="200" t="s">
        <v>86</v>
      </c>
      <c r="E93" s="201">
        <v>442</v>
      </c>
      <c r="F93" s="202"/>
      <c r="G93" s="202"/>
      <c r="H93" s="204"/>
      <c r="I93" s="204"/>
    </row>
    <row r="94" spans="1:255" s="40" customFormat="1" ht="12" x14ac:dyDescent="0.2">
      <c r="A94" s="199">
        <v>67</v>
      </c>
      <c r="B94" s="200" t="s">
        <v>84</v>
      </c>
      <c r="C94" s="200" t="s">
        <v>192</v>
      </c>
      <c r="D94" s="200" t="s">
        <v>193</v>
      </c>
      <c r="E94" s="201">
        <v>1</v>
      </c>
      <c r="F94" s="202"/>
      <c r="G94" s="202"/>
      <c r="H94" s="204"/>
      <c r="I94" s="204"/>
    </row>
    <row r="95" spans="1:255" x14ac:dyDescent="0.2">
      <c r="A95" s="192"/>
      <c r="B95" s="192"/>
      <c r="C95" s="193" t="s">
        <v>640</v>
      </c>
      <c r="D95" s="192"/>
      <c r="E95" s="192"/>
      <c r="F95" s="192"/>
      <c r="G95" s="194"/>
      <c r="H95" s="192"/>
      <c r="I95" s="192"/>
      <c r="J95" s="21"/>
      <c r="K95" s="21"/>
      <c r="L95" s="21"/>
      <c r="M95" s="177">
        <f>G95</f>
        <v>0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</row>
    <row r="97" spans="1:255" x14ac:dyDescent="0.2">
      <c r="C97" s="190" t="s">
        <v>270</v>
      </c>
      <c r="G97" s="191"/>
    </row>
    <row r="98" spans="1:255" x14ac:dyDescent="0.2">
      <c r="C98" s="209" t="s">
        <v>701</v>
      </c>
      <c r="G98" s="191"/>
    </row>
    <row r="99" spans="1:255" x14ac:dyDescent="0.2">
      <c r="C99" s="209" t="s">
        <v>564</v>
      </c>
      <c r="G99" s="191"/>
    </row>
    <row r="100" spans="1:255" x14ac:dyDescent="0.2">
      <c r="C100" s="209" t="s">
        <v>617</v>
      </c>
      <c r="G100" s="191"/>
    </row>
    <row r="101" spans="1:255" x14ac:dyDescent="0.2">
      <c r="C101" s="209" t="s">
        <v>702</v>
      </c>
      <c r="G101" s="191"/>
    </row>
    <row r="103" spans="1:255" ht="22.5" x14ac:dyDescent="0.2">
      <c r="A103" s="163" t="s">
        <v>655</v>
      </c>
      <c r="B103" s="163"/>
      <c r="C103" s="181" t="s">
        <v>656</v>
      </c>
      <c r="D103" s="164"/>
      <c r="E103" s="164"/>
      <c r="F103" s="223" t="s">
        <v>657</v>
      </c>
      <c r="G103" s="223"/>
      <c r="BY103" s="165" t="str">
        <f>C103</f>
        <v>Ведущий инженер-сметчик ООО "ОДСК-Инжиниринг"</v>
      </c>
      <c r="BZ103" s="165" t="str">
        <f>F103</f>
        <v>Мамаева Е.М.</v>
      </c>
      <c r="IU103" s="21"/>
    </row>
    <row r="104" spans="1:255" s="206" customFormat="1" ht="11.25" x14ac:dyDescent="0.2">
      <c r="A104" s="205"/>
      <c r="B104" s="205"/>
      <c r="C104" s="224" t="s">
        <v>651</v>
      </c>
      <c r="D104" s="224"/>
      <c r="E104" s="224"/>
      <c r="F104" s="224" t="s">
        <v>652</v>
      </c>
      <c r="G104" s="224"/>
    </row>
    <row r="105" spans="1:255" x14ac:dyDescent="0.2">
      <c r="A105" s="16"/>
      <c r="B105" s="16"/>
      <c r="C105" s="16"/>
      <c r="D105" s="9" t="s">
        <v>653</v>
      </c>
      <c r="E105" s="16"/>
      <c r="F105" s="16"/>
      <c r="G105" s="16"/>
    </row>
    <row r="106" spans="1:255" ht="22.5" x14ac:dyDescent="0.2">
      <c r="A106" s="163" t="s">
        <v>658</v>
      </c>
      <c r="B106" s="163"/>
      <c r="C106" s="181" t="s">
        <v>659</v>
      </c>
      <c r="D106" s="164"/>
      <c r="E106" s="164"/>
      <c r="F106" s="223" t="s">
        <v>660</v>
      </c>
      <c r="G106" s="223"/>
      <c r="BY106" s="165" t="str">
        <f>C106</f>
        <v>Главный инженер-сметчик ООО "ОДСК-Инжиниринг"</v>
      </c>
      <c r="BZ106" s="165" t="str">
        <f>F106</f>
        <v>Кузнецова У.И.</v>
      </c>
      <c r="IU106" s="21"/>
    </row>
    <row r="107" spans="1:255" s="206" customFormat="1" ht="11.25" x14ac:dyDescent="0.2">
      <c r="A107" s="205"/>
      <c r="B107" s="205"/>
      <c r="C107" s="224" t="s">
        <v>651</v>
      </c>
      <c r="D107" s="224"/>
      <c r="E107" s="224"/>
      <c r="F107" s="224" t="s">
        <v>652</v>
      </c>
      <c r="G107" s="224"/>
    </row>
    <row r="108" spans="1:255" x14ac:dyDescent="0.2">
      <c r="A108" s="16"/>
      <c r="B108" s="16"/>
      <c r="C108" s="16"/>
      <c r="D108" s="9" t="s">
        <v>653</v>
      </c>
      <c r="E108" s="16"/>
      <c r="F108" s="16"/>
      <c r="G108" s="16"/>
    </row>
    <row r="109" spans="1:255" x14ac:dyDescent="0.2">
      <c r="A109" s="163" t="s">
        <v>536</v>
      </c>
      <c r="B109" s="163"/>
      <c r="C109" s="181" t="s">
        <v>667</v>
      </c>
      <c r="D109" s="164"/>
      <c r="E109" s="164"/>
      <c r="F109" s="223" t="s">
        <v>661</v>
      </c>
      <c r="G109" s="223"/>
      <c r="BY109" s="165" t="str">
        <f>C109</f>
        <v>Руководитель ПТС ООО "ОСУ-2"</v>
      </c>
      <c r="BZ109" s="165" t="str">
        <f>F109</f>
        <v>Когтев В.И.</v>
      </c>
      <c r="IU109" s="21"/>
    </row>
    <row r="110" spans="1:255" s="206" customFormat="1" ht="11.25" x14ac:dyDescent="0.2">
      <c r="A110" s="205"/>
      <c r="B110" s="205"/>
      <c r="C110" s="224" t="s">
        <v>651</v>
      </c>
      <c r="D110" s="224"/>
      <c r="E110" s="224"/>
      <c r="F110" s="224" t="s">
        <v>652</v>
      </c>
      <c r="G110" s="224"/>
    </row>
    <row r="111" spans="1:255" x14ac:dyDescent="0.2">
      <c r="A111" s="16"/>
      <c r="B111" s="16"/>
      <c r="C111" s="16"/>
      <c r="D111" s="9" t="s">
        <v>653</v>
      </c>
      <c r="E111" s="16"/>
      <c r="F111" s="16"/>
      <c r="G111" s="16"/>
    </row>
  </sheetData>
  <sortState ref="A50:IU94">
    <sortCondition ref="B50"/>
    <sortCondition ref="C50"/>
  </sortState>
  <mergeCells count="21"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  <mergeCell ref="F109:G109"/>
    <mergeCell ref="C110:E110"/>
    <mergeCell ref="F110:G110"/>
    <mergeCell ref="F103:G103"/>
    <mergeCell ref="C104:E104"/>
    <mergeCell ref="F104:G104"/>
    <mergeCell ref="F106:G106"/>
    <mergeCell ref="C107:E107"/>
    <mergeCell ref="F107:G107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topLeftCell="A10" workbookViewId="0">
      <selection sqref="A1:G1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3" customFormat="1" ht="11.25" x14ac:dyDescent="0.2">
      <c r="A1" s="244" t="s">
        <v>526</v>
      </c>
      <c r="B1" s="244"/>
      <c r="C1" s="244"/>
      <c r="D1" s="244"/>
      <c r="E1" s="244"/>
      <c r="F1" s="244"/>
      <c r="G1" s="244"/>
    </row>
    <row r="3" spans="1:255" x14ac:dyDescent="0.2">
      <c r="A3" s="18" t="s">
        <v>533</v>
      </c>
      <c r="B3" s="17"/>
      <c r="C3" s="234"/>
      <c r="D3" s="235"/>
      <c r="E3" s="235"/>
      <c r="F3" s="235"/>
      <c r="G3" s="235"/>
      <c r="BR3" s="20">
        <f>C3</f>
        <v>0</v>
      </c>
      <c r="IU3" s="21"/>
    </row>
    <row r="4" spans="1:255" x14ac:dyDescent="0.2">
      <c r="A4" s="18" t="s">
        <v>535</v>
      </c>
      <c r="B4" s="17"/>
      <c r="C4" s="236"/>
      <c r="D4" s="237"/>
      <c r="E4" s="237"/>
      <c r="F4" s="237"/>
      <c r="G4" s="237"/>
      <c r="BR4" s="20">
        <f>C4</f>
        <v>0</v>
      </c>
      <c r="IU4" s="21"/>
    </row>
    <row r="5" spans="1:255" x14ac:dyDescent="0.2">
      <c r="A5" s="18" t="s">
        <v>536</v>
      </c>
      <c r="B5" s="17"/>
      <c r="C5" s="236"/>
      <c r="D5" s="237"/>
      <c r="E5" s="237"/>
      <c r="F5" s="237"/>
      <c r="G5" s="237"/>
      <c r="BR5" s="20">
        <f>C5</f>
        <v>0</v>
      </c>
      <c r="IU5" s="21"/>
    </row>
    <row r="6" spans="1:255" x14ac:dyDescent="0.2">
      <c r="A6" s="18" t="s">
        <v>537</v>
      </c>
      <c r="B6" s="17"/>
      <c r="C6" s="238"/>
      <c r="D6" s="239"/>
      <c r="E6" s="239"/>
      <c r="F6" s="239"/>
      <c r="G6" s="239"/>
      <c r="BR6" s="20">
        <f>C6</f>
        <v>0</v>
      </c>
      <c r="IU6" s="21"/>
    </row>
    <row r="7" spans="1:255" x14ac:dyDescent="0.2">
      <c r="A7" s="240"/>
      <c r="B7" s="240"/>
      <c r="C7" s="240"/>
      <c r="D7" s="240"/>
      <c r="E7" s="240"/>
      <c r="F7" s="240"/>
      <c r="G7" s="240"/>
    </row>
    <row r="8" spans="1:255" ht="18.75" x14ac:dyDescent="0.3">
      <c r="A8" s="241" t="s">
        <v>669</v>
      </c>
      <c r="B8" s="241"/>
      <c r="C8" s="241"/>
      <c r="D8" s="241"/>
      <c r="E8" s="241"/>
      <c r="F8" s="241"/>
      <c r="G8" s="241"/>
    </row>
    <row r="9" spans="1:255" x14ac:dyDescent="0.2">
      <c r="A9" s="242" t="s">
        <v>694</v>
      </c>
      <c r="B9" s="242"/>
      <c r="C9" s="242"/>
      <c r="D9" s="242"/>
      <c r="E9" s="242"/>
      <c r="F9" s="242"/>
      <c r="G9" s="242"/>
    </row>
    <row r="10" spans="1:255" x14ac:dyDescent="0.2">
      <c r="A10" s="242"/>
      <c r="B10" s="242"/>
      <c r="C10" s="242"/>
      <c r="D10" s="242"/>
      <c r="E10" s="242"/>
      <c r="F10" s="242"/>
      <c r="G10" s="242"/>
    </row>
    <row r="11" spans="1:255" ht="78.75" x14ac:dyDescent="0.25">
      <c r="A11" s="12" t="s">
        <v>671</v>
      </c>
      <c r="B11" s="243" t="s">
        <v>4</v>
      </c>
      <c r="C11" s="243"/>
      <c r="D11" s="243"/>
      <c r="E11" s="243"/>
      <c r="F11" s="243"/>
      <c r="G11" s="243"/>
      <c r="BS11" s="182" t="str">
        <f>B11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1" s="21"/>
    </row>
    <row r="12" spans="1:255" ht="78.75" x14ac:dyDescent="0.25">
      <c r="A12" s="12" t="s">
        <v>539</v>
      </c>
      <c r="B12" s="232" t="s">
        <v>4</v>
      </c>
      <c r="C12" s="232"/>
      <c r="D12" s="232"/>
      <c r="E12" s="232"/>
      <c r="F12" s="232"/>
      <c r="G12" s="232"/>
      <c r="BS12" s="182" t="str">
        <f>B12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2" s="21"/>
    </row>
    <row r="13" spans="1:255" x14ac:dyDescent="0.2">
      <c r="A13" s="12" t="s">
        <v>540</v>
      </c>
      <c r="B13" s="225" t="s">
        <v>558</v>
      </c>
      <c r="C13" s="226"/>
      <c r="D13" s="226"/>
      <c r="E13" s="226"/>
      <c r="F13" s="226"/>
      <c r="G13" s="226"/>
      <c r="BT13" s="20">
        <f>C13</f>
        <v>0</v>
      </c>
      <c r="IU13" s="21"/>
    </row>
    <row r="15" spans="1:255" x14ac:dyDescent="0.2">
      <c r="A15" s="12" t="s">
        <v>554</v>
      </c>
    </row>
    <row r="16" spans="1:255" x14ac:dyDescent="0.2">
      <c r="A16" s="12" t="s">
        <v>555</v>
      </c>
    </row>
    <row r="17" spans="1:255" x14ac:dyDescent="0.2">
      <c r="A17" s="183" t="s">
        <v>672</v>
      </c>
      <c r="B17" s="183" t="s">
        <v>674</v>
      </c>
      <c r="C17" s="183" t="s">
        <v>677</v>
      </c>
      <c r="D17" s="183" t="s">
        <v>679</v>
      </c>
      <c r="E17" s="183" t="s">
        <v>682</v>
      </c>
      <c r="F17" s="183" t="s">
        <v>684</v>
      </c>
      <c r="G17" s="183" t="s">
        <v>686</v>
      </c>
      <c r="H17" s="183" t="s">
        <v>688</v>
      </c>
      <c r="I17" s="184" t="s">
        <v>641</v>
      </c>
    </row>
    <row r="18" spans="1:255" x14ac:dyDescent="0.2">
      <c r="A18" s="185" t="s">
        <v>673</v>
      </c>
      <c r="B18" s="185" t="s">
        <v>675</v>
      </c>
      <c r="C18" s="185" t="s">
        <v>678</v>
      </c>
      <c r="D18" s="185" t="s">
        <v>680</v>
      </c>
      <c r="E18" s="185" t="s">
        <v>683</v>
      </c>
      <c r="F18" s="185" t="s">
        <v>685</v>
      </c>
      <c r="G18" s="185" t="s">
        <v>687</v>
      </c>
      <c r="H18" s="185" t="s">
        <v>689</v>
      </c>
      <c r="I18" s="186" t="s">
        <v>583</v>
      </c>
    </row>
    <row r="19" spans="1:255" x14ac:dyDescent="0.2">
      <c r="A19" s="185"/>
      <c r="B19" s="185" t="s">
        <v>676</v>
      </c>
      <c r="C19" s="185"/>
      <c r="D19" s="185" t="s">
        <v>681</v>
      </c>
      <c r="E19" s="185"/>
      <c r="F19" s="185"/>
      <c r="G19" s="185" t="s">
        <v>685</v>
      </c>
      <c r="H19" s="185" t="s">
        <v>690</v>
      </c>
      <c r="I19" s="186"/>
    </row>
    <row r="20" spans="1:255" x14ac:dyDescent="0.2">
      <c r="A20" s="187">
        <v>1</v>
      </c>
      <c r="B20" s="187">
        <v>2</v>
      </c>
      <c r="C20" s="187">
        <v>3</v>
      </c>
      <c r="D20" s="187">
        <v>4</v>
      </c>
      <c r="E20" s="187">
        <v>5</v>
      </c>
      <c r="F20" s="187">
        <v>6</v>
      </c>
      <c r="G20" s="187">
        <v>7</v>
      </c>
      <c r="H20" s="187">
        <v>8</v>
      </c>
      <c r="I20" s="188">
        <v>9</v>
      </c>
    </row>
    <row r="22" spans="1:255" x14ac:dyDescent="0.2">
      <c r="C22" t="s">
        <v>695</v>
      </c>
    </row>
    <row r="24" spans="1:255" ht="22.5" x14ac:dyDescent="0.2">
      <c r="A24" s="163" t="s">
        <v>655</v>
      </c>
      <c r="B24" s="163"/>
      <c r="C24" s="181" t="s">
        <v>656</v>
      </c>
      <c r="D24" s="164"/>
      <c r="E24" s="164"/>
      <c r="F24" s="223" t="s">
        <v>657</v>
      </c>
      <c r="G24" s="223"/>
      <c r="BY24" s="165" t="str">
        <f>C24</f>
        <v>Ведущий инженер-сметчик ООО "ОДСК-Инжиниринг"</v>
      </c>
      <c r="BZ24" s="165" t="str">
        <f>F24</f>
        <v>Мамаева Е.М.</v>
      </c>
      <c r="IU24" s="21"/>
    </row>
    <row r="25" spans="1:255" s="206" customFormat="1" ht="11.25" x14ac:dyDescent="0.2">
      <c r="A25" s="205"/>
      <c r="B25" s="205"/>
      <c r="C25" s="224" t="s">
        <v>651</v>
      </c>
      <c r="D25" s="224"/>
      <c r="E25" s="224"/>
      <c r="F25" s="224" t="s">
        <v>652</v>
      </c>
      <c r="G25" s="224"/>
    </row>
    <row r="26" spans="1:255" x14ac:dyDescent="0.2">
      <c r="A26" s="16"/>
      <c r="B26" s="16"/>
      <c r="C26" s="16"/>
      <c r="D26" s="9" t="s">
        <v>653</v>
      </c>
      <c r="E26" s="16"/>
      <c r="F26" s="16"/>
      <c r="G26" s="16"/>
    </row>
    <row r="27" spans="1:255" ht="22.5" x14ac:dyDescent="0.2">
      <c r="A27" s="163" t="s">
        <v>658</v>
      </c>
      <c r="B27" s="163"/>
      <c r="C27" s="181" t="s">
        <v>659</v>
      </c>
      <c r="D27" s="164"/>
      <c r="E27" s="164"/>
      <c r="F27" s="223" t="s">
        <v>660</v>
      </c>
      <c r="G27" s="223"/>
      <c r="BY27" s="165" t="str">
        <f>C27</f>
        <v>Главный инженер-сметчик ООО "ОДСК-Инжиниринг"</v>
      </c>
      <c r="BZ27" s="165" t="str">
        <f>F27</f>
        <v>Кузнецова У.И.</v>
      </c>
      <c r="IU27" s="21"/>
    </row>
    <row r="28" spans="1:255" s="206" customFormat="1" ht="11.25" x14ac:dyDescent="0.2">
      <c r="A28" s="205"/>
      <c r="B28" s="205"/>
      <c r="C28" s="224" t="s">
        <v>651</v>
      </c>
      <c r="D28" s="224"/>
      <c r="E28" s="224"/>
      <c r="F28" s="224" t="s">
        <v>652</v>
      </c>
      <c r="G28" s="224"/>
    </row>
    <row r="29" spans="1:255" x14ac:dyDescent="0.2">
      <c r="A29" s="16"/>
      <c r="B29" s="16"/>
      <c r="C29" s="16"/>
      <c r="D29" s="9" t="s">
        <v>653</v>
      </c>
      <c r="E29" s="16"/>
      <c r="F29" s="16"/>
      <c r="G29" s="16"/>
    </row>
    <row r="30" spans="1:255" x14ac:dyDescent="0.2">
      <c r="A30" s="163" t="s">
        <v>536</v>
      </c>
      <c r="B30" s="163"/>
      <c r="C30" s="181" t="s">
        <v>667</v>
      </c>
      <c r="D30" s="164"/>
      <c r="E30" s="164"/>
      <c r="F30" s="223" t="s">
        <v>661</v>
      </c>
      <c r="G30" s="223"/>
      <c r="BY30" s="165" t="str">
        <f>C30</f>
        <v>Руководитель ПТС ООО "ОСУ-2"</v>
      </c>
      <c r="BZ30" s="165" t="str">
        <f>F30</f>
        <v>Когтев В.И.</v>
      </c>
      <c r="IU30" s="21"/>
    </row>
    <row r="31" spans="1:255" s="206" customFormat="1" ht="11.25" x14ac:dyDescent="0.2">
      <c r="A31" s="205"/>
      <c r="B31" s="205"/>
      <c r="C31" s="224" t="s">
        <v>651</v>
      </c>
      <c r="D31" s="224"/>
      <c r="E31" s="224"/>
      <c r="F31" s="224" t="s">
        <v>652</v>
      </c>
      <c r="G31" s="224"/>
    </row>
    <row r="32" spans="1:255" x14ac:dyDescent="0.2">
      <c r="A32" s="16"/>
      <c r="B32" s="16"/>
      <c r="C32" s="16"/>
      <c r="D32" s="9" t="s">
        <v>653</v>
      </c>
      <c r="E32" s="16"/>
      <c r="F32" s="16"/>
      <c r="G32" s="16"/>
    </row>
  </sheetData>
  <mergeCells count="21"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  <mergeCell ref="F30:G30"/>
    <mergeCell ref="C31:E31"/>
    <mergeCell ref="F31:G31"/>
    <mergeCell ref="F24:G24"/>
    <mergeCell ref="C25:E25"/>
    <mergeCell ref="F25:G25"/>
    <mergeCell ref="F27:G27"/>
    <mergeCell ref="C28:E28"/>
    <mergeCell ref="F28:G28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79"/>
  <sheetViews>
    <sheetView topLeftCell="A59" workbookViewId="0">
      <selection activeCell="H22" sqref="H22:I65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3" customFormat="1" ht="11.25" x14ac:dyDescent="0.2">
      <c r="A1" s="244" t="s">
        <v>526</v>
      </c>
      <c r="B1" s="244"/>
      <c r="C1" s="244"/>
      <c r="D1" s="244"/>
      <c r="E1" s="244"/>
      <c r="F1" s="244"/>
      <c r="G1" s="244"/>
    </row>
    <row r="3" spans="1:255" x14ac:dyDescent="0.2">
      <c r="A3" s="18" t="s">
        <v>533</v>
      </c>
      <c r="B3" s="17"/>
      <c r="C3" s="234"/>
      <c r="D3" s="235"/>
      <c r="E3" s="235"/>
      <c r="F3" s="235"/>
      <c r="G3" s="235"/>
      <c r="BR3" s="20">
        <f>C3</f>
        <v>0</v>
      </c>
      <c r="IU3" s="21"/>
    </row>
    <row r="4" spans="1:255" x14ac:dyDescent="0.2">
      <c r="A4" s="18" t="s">
        <v>535</v>
      </c>
      <c r="B4" s="17"/>
      <c r="C4" s="236"/>
      <c r="D4" s="237"/>
      <c r="E4" s="237"/>
      <c r="F4" s="237"/>
      <c r="G4" s="237"/>
      <c r="BR4" s="20">
        <f>C4</f>
        <v>0</v>
      </c>
      <c r="IU4" s="21"/>
    </row>
    <row r="5" spans="1:255" x14ac:dyDescent="0.2">
      <c r="A5" s="18" t="s">
        <v>536</v>
      </c>
      <c r="B5" s="17"/>
      <c r="C5" s="236"/>
      <c r="D5" s="237"/>
      <c r="E5" s="237"/>
      <c r="F5" s="237"/>
      <c r="G5" s="237"/>
      <c r="BR5" s="20">
        <f>C5</f>
        <v>0</v>
      </c>
      <c r="IU5" s="21"/>
    </row>
    <row r="6" spans="1:255" x14ac:dyDescent="0.2">
      <c r="A6" s="18" t="s">
        <v>537</v>
      </c>
      <c r="B6" s="17"/>
      <c r="C6" s="238"/>
      <c r="D6" s="239"/>
      <c r="E6" s="239"/>
      <c r="F6" s="239"/>
      <c r="G6" s="239"/>
      <c r="BR6" s="20">
        <f>C6</f>
        <v>0</v>
      </c>
      <c r="IU6" s="21"/>
    </row>
    <row r="7" spans="1:255" x14ac:dyDescent="0.2">
      <c r="A7" s="240"/>
      <c r="B7" s="240"/>
      <c r="C7" s="240"/>
      <c r="D7" s="240"/>
      <c r="E7" s="240"/>
      <c r="F7" s="240"/>
      <c r="G7" s="240"/>
    </row>
    <row r="8" spans="1:255" ht="18.75" x14ac:dyDescent="0.3">
      <c r="A8" s="241" t="s">
        <v>669</v>
      </c>
      <c r="B8" s="241"/>
      <c r="C8" s="241"/>
      <c r="D8" s="241"/>
      <c r="E8" s="241"/>
      <c r="F8" s="241"/>
      <c r="G8" s="241"/>
    </row>
    <row r="9" spans="1:255" x14ac:dyDescent="0.2">
      <c r="A9" s="242" t="s">
        <v>670</v>
      </c>
      <c r="B9" s="242"/>
      <c r="C9" s="242"/>
      <c r="D9" s="242"/>
      <c r="E9" s="242"/>
      <c r="F9" s="242"/>
      <c r="G9" s="242"/>
    </row>
    <row r="10" spans="1:255" x14ac:dyDescent="0.2">
      <c r="A10" s="242"/>
      <c r="B10" s="242"/>
      <c r="C10" s="242"/>
      <c r="D10" s="242"/>
      <c r="E10" s="242"/>
      <c r="F10" s="242"/>
      <c r="G10" s="242"/>
    </row>
    <row r="11" spans="1:255" ht="78.75" x14ac:dyDescent="0.25">
      <c r="A11" s="12" t="s">
        <v>671</v>
      </c>
      <c r="B11" s="243" t="s">
        <v>4</v>
      </c>
      <c r="C11" s="243"/>
      <c r="D11" s="243"/>
      <c r="E11" s="243"/>
      <c r="F11" s="243"/>
      <c r="G11" s="243"/>
      <c r="BS11" s="182" t="str">
        <f>B11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1" s="21"/>
    </row>
    <row r="12" spans="1:255" ht="78.75" x14ac:dyDescent="0.25">
      <c r="A12" s="12" t="s">
        <v>539</v>
      </c>
      <c r="B12" s="232" t="s">
        <v>4</v>
      </c>
      <c r="C12" s="232"/>
      <c r="D12" s="232"/>
      <c r="E12" s="232"/>
      <c r="F12" s="232"/>
      <c r="G12" s="232"/>
      <c r="BS12" s="182" t="str">
        <f>B12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2" s="21"/>
    </row>
    <row r="13" spans="1:255" x14ac:dyDescent="0.2">
      <c r="A13" s="12" t="s">
        <v>540</v>
      </c>
      <c r="B13" s="225" t="s">
        <v>558</v>
      </c>
      <c r="C13" s="226"/>
      <c r="D13" s="226"/>
      <c r="E13" s="226"/>
      <c r="F13" s="226"/>
      <c r="G13" s="226"/>
      <c r="BT13" s="20">
        <f>C13</f>
        <v>0</v>
      </c>
      <c r="IU13" s="21"/>
    </row>
    <row r="15" spans="1:255" x14ac:dyDescent="0.2">
      <c r="A15" s="12" t="s">
        <v>554</v>
      </c>
    </row>
    <row r="16" spans="1:255" x14ac:dyDescent="0.2">
      <c r="A16" s="12" t="s">
        <v>555</v>
      </c>
    </row>
    <row r="17" spans="1:255" x14ac:dyDescent="0.2">
      <c r="A17" s="183" t="s">
        <v>672</v>
      </c>
      <c r="B17" s="183" t="s">
        <v>674</v>
      </c>
      <c r="C17" s="183" t="s">
        <v>677</v>
      </c>
      <c r="D17" s="183" t="s">
        <v>679</v>
      </c>
      <c r="E17" s="183" t="s">
        <v>682</v>
      </c>
      <c r="F17" s="183" t="s">
        <v>684</v>
      </c>
      <c r="G17" s="183" t="s">
        <v>686</v>
      </c>
      <c r="H17" s="183" t="s">
        <v>688</v>
      </c>
      <c r="I17" s="184" t="s">
        <v>641</v>
      </c>
    </row>
    <row r="18" spans="1:255" x14ac:dyDescent="0.2">
      <c r="A18" s="185" t="s">
        <v>673</v>
      </c>
      <c r="B18" s="185" t="s">
        <v>675</v>
      </c>
      <c r="C18" s="185" t="s">
        <v>678</v>
      </c>
      <c r="D18" s="185" t="s">
        <v>680</v>
      </c>
      <c r="E18" s="185" t="s">
        <v>683</v>
      </c>
      <c r="F18" s="185" t="s">
        <v>685</v>
      </c>
      <c r="G18" s="185" t="s">
        <v>687</v>
      </c>
      <c r="H18" s="185" t="s">
        <v>689</v>
      </c>
      <c r="I18" s="186" t="s">
        <v>583</v>
      </c>
    </row>
    <row r="19" spans="1:255" x14ac:dyDescent="0.2">
      <c r="A19" s="185"/>
      <c r="B19" s="185" t="s">
        <v>676</v>
      </c>
      <c r="C19" s="185"/>
      <c r="D19" s="185" t="s">
        <v>681</v>
      </c>
      <c r="E19" s="185"/>
      <c r="F19" s="185"/>
      <c r="G19" s="185" t="s">
        <v>685</v>
      </c>
      <c r="H19" s="185" t="s">
        <v>690</v>
      </c>
      <c r="I19" s="186"/>
    </row>
    <row r="20" spans="1:255" x14ac:dyDescent="0.2">
      <c r="A20" s="183">
        <v>1</v>
      </c>
      <c r="B20" s="183">
        <v>2</v>
      </c>
      <c r="C20" s="183">
        <v>3</v>
      </c>
      <c r="D20" s="183">
        <v>4</v>
      </c>
      <c r="E20" s="183">
        <v>5</v>
      </c>
      <c r="F20" s="183">
        <v>6</v>
      </c>
      <c r="G20" s="183">
        <v>7</v>
      </c>
      <c r="H20" s="183">
        <v>8</v>
      </c>
      <c r="I20" s="184">
        <v>9</v>
      </c>
    </row>
    <row r="21" spans="1:255" x14ac:dyDescent="0.2">
      <c r="A21" s="198"/>
      <c r="B21" s="198" t="s">
        <v>691</v>
      </c>
      <c r="C21" s="198"/>
      <c r="D21" s="198"/>
      <c r="E21" s="198"/>
      <c r="F21" s="198"/>
      <c r="G21" s="192"/>
      <c r="H21" s="192"/>
      <c r="I21" s="192"/>
    </row>
    <row r="22" spans="1:255" s="40" customFormat="1" ht="24" x14ac:dyDescent="0.2">
      <c r="A22" s="199">
        <v>1</v>
      </c>
      <c r="B22" s="200" t="s">
        <v>404</v>
      </c>
      <c r="C22" s="200" t="s">
        <v>406</v>
      </c>
      <c r="D22" s="200" t="s">
        <v>129</v>
      </c>
      <c r="E22" s="201">
        <f t="shared" ref="E22:E44" si="0">O22</f>
        <v>3.9E-2</v>
      </c>
      <c r="F22" s="202"/>
      <c r="G22" s="202"/>
      <c r="H22" s="203"/>
      <c r="I22" s="203"/>
      <c r="N22" s="189"/>
      <c r="O22" s="189">
        <f t="shared" ref="O22:O44" si="1">SUM(P22:IV22)</f>
        <v>3.9E-2</v>
      </c>
      <c r="P22" s="189">
        <f>SmtRes!CX79</f>
        <v>3.9E-2</v>
      </c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</row>
    <row r="23" spans="1:255" s="40" customFormat="1" ht="24" x14ac:dyDescent="0.2">
      <c r="A23" s="199">
        <v>2</v>
      </c>
      <c r="B23" s="200" t="s">
        <v>375</v>
      </c>
      <c r="C23" s="200" t="s">
        <v>377</v>
      </c>
      <c r="D23" s="200" t="s">
        <v>129</v>
      </c>
      <c r="E23" s="201">
        <f t="shared" si="0"/>
        <v>0.22220000000000001</v>
      </c>
      <c r="F23" s="202"/>
      <c r="G23" s="202"/>
      <c r="H23" s="203"/>
      <c r="I23" s="203"/>
      <c r="N23" s="189"/>
      <c r="O23" s="189">
        <f t="shared" si="1"/>
        <v>0.22220000000000001</v>
      </c>
      <c r="P23" s="189">
        <f>SmtRes!CX32</f>
        <v>0.19500000000000001</v>
      </c>
      <c r="Q23" s="189">
        <f>SmtRes!CX56</f>
        <v>2.7199999999999998E-2</v>
      </c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</row>
    <row r="24" spans="1:255" s="40" customFormat="1" ht="24" x14ac:dyDescent="0.2">
      <c r="A24" s="199">
        <v>3</v>
      </c>
      <c r="B24" s="200" t="s">
        <v>367</v>
      </c>
      <c r="C24" s="200" t="s">
        <v>369</v>
      </c>
      <c r="D24" s="200" t="s">
        <v>33</v>
      </c>
      <c r="E24" s="201">
        <f t="shared" si="0"/>
        <v>147.628546</v>
      </c>
      <c r="F24" s="202"/>
      <c r="G24" s="202"/>
      <c r="H24" s="203"/>
      <c r="I24" s="203"/>
      <c r="N24" s="189"/>
      <c r="O24" s="189">
        <f t="shared" si="1"/>
        <v>147.628546</v>
      </c>
      <c r="P24" s="189">
        <f>SmtRes!CX25</f>
        <v>34.475999999999999</v>
      </c>
      <c r="Q24" s="189">
        <f>SmtRes!CX81</f>
        <v>5.4600000000000004E-4</v>
      </c>
      <c r="R24" s="189">
        <f>SmtRes!CX114</f>
        <v>113.152</v>
      </c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</row>
    <row r="25" spans="1:255" s="40" customFormat="1" ht="24" x14ac:dyDescent="0.2">
      <c r="A25" s="199">
        <v>4</v>
      </c>
      <c r="B25" s="200" t="s">
        <v>453</v>
      </c>
      <c r="C25" s="200" t="s">
        <v>454</v>
      </c>
      <c r="D25" s="200" t="s">
        <v>455</v>
      </c>
      <c r="E25" s="201">
        <f t="shared" si="0"/>
        <v>3.62</v>
      </c>
      <c r="F25" s="202"/>
      <c r="G25" s="202"/>
      <c r="H25" s="203"/>
      <c r="I25" s="203"/>
      <c r="N25" s="189"/>
      <c r="O25" s="189">
        <f t="shared" si="1"/>
        <v>3.62</v>
      </c>
      <c r="P25" s="189">
        <f>SmtRes!CX111</f>
        <v>3.62</v>
      </c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</row>
    <row r="26" spans="1:255" s="40" customFormat="1" ht="24" x14ac:dyDescent="0.2">
      <c r="A26" s="199">
        <v>5</v>
      </c>
      <c r="B26" s="200" t="s">
        <v>407</v>
      </c>
      <c r="C26" s="200" t="s">
        <v>409</v>
      </c>
      <c r="D26" s="200" t="s">
        <v>129</v>
      </c>
      <c r="E26" s="201">
        <f t="shared" si="0"/>
        <v>1.56E-4</v>
      </c>
      <c r="F26" s="202"/>
      <c r="G26" s="202"/>
      <c r="H26" s="203"/>
      <c r="I26" s="203"/>
      <c r="N26" s="189"/>
      <c r="O26" s="189">
        <f t="shared" si="1"/>
        <v>1.56E-4</v>
      </c>
      <c r="P26" s="189">
        <f>SmtRes!CX83</f>
        <v>1.56E-4</v>
      </c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</row>
    <row r="27" spans="1:255" s="40" customFormat="1" ht="36" x14ac:dyDescent="0.2">
      <c r="A27" s="199">
        <v>6</v>
      </c>
      <c r="B27" s="200" t="s">
        <v>419</v>
      </c>
      <c r="C27" s="200" t="s">
        <v>421</v>
      </c>
      <c r="D27" s="200" t="s">
        <v>33</v>
      </c>
      <c r="E27" s="201">
        <f t="shared" si="0"/>
        <v>1.248E-2</v>
      </c>
      <c r="F27" s="202"/>
      <c r="G27" s="202"/>
      <c r="H27" s="203"/>
      <c r="I27" s="203"/>
      <c r="N27" s="189"/>
      <c r="O27" s="189">
        <f t="shared" si="1"/>
        <v>1.248E-2</v>
      </c>
      <c r="P27" s="189">
        <f>SmtRes!CX97</f>
        <v>1.248E-2</v>
      </c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  <c r="II27" s="189"/>
      <c r="IJ27" s="189"/>
      <c r="IK27" s="189"/>
      <c r="IL27" s="189"/>
      <c r="IM27" s="189"/>
      <c r="IN27" s="189"/>
      <c r="IO27" s="189"/>
      <c r="IP27" s="189"/>
      <c r="IQ27" s="189"/>
      <c r="IR27" s="189"/>
      <c r="IS27" s="189"/>
      <c r="IT27" s="189"/>
      <c r="IU27" s="189"/>
    </row>
    <row r="28" spans="1:255" s="40" customFormat="1" ht="24" x14ac:dyDescent="0.2">
      <c r="A28" s="199">
        <v>7</v>
      </c>
      <c r="B28" s="200" t="s">
        <v>413</v>
      </c>
      <c r="C28" s="200" t="s">
        <v>415</v>
      </c>
      <c r="D28" s="200" t="s">
        <v>129</v>
      </c>
      <c r="E28" s="201">
        <f t="shared" si="0"/>
        <v>1.95E-4</v>
      </c>
      <c r="F28" s="202"/>
      <c r="G28" s="202"/>
      <c r="H28" s="203"/>
      <c r="I28" s="203"/>
      <c r="N28" s="189"/>
      <c r="O28" s="189">
        <f t="shared" si="1"/>
        <v>1.95E-4</v>
      </c>
      <c r="P28" s="189">
        <f>SmtRes!CX85</f>
        <v>1.95E-4</v>
      </c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189"/>
      <c r="ES28" s="189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189"/>
      <c r="FF28" s="189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189"/>
      <c r="FS28" s="189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89"/>
      <c r="GF28" s="189"/>
      <c r="GG28" s="189"/>
      <c r="GH28" s="189"/>
      <c r="GI28" s="189"/>
      <c r="GJ28" s="189"/>
      <c r="GK28" s="189"/>
      <c r="GL28" s="189"/>
      <c r="GM28" s="189"/>
      <c r="GN28" s="189"/>
      <c r="GO28" s="189"/>
      <c r="GP28" s="189"/>
      <c r="GQ28" s="189"/>
      <c r="GR28" s="189"/>
      <c r="GS28" s="189"/>
      <c r="GT28" s="189"/>
      <c r="GU28" s="189"/>
      <c r="GV28" s="189"/>
      <c r="GW28" s="189"/>
      <c r="GX28" s="189"/>
      <c r="GY28" s="189"/>
      <c r="GZ28" s="189"/>
      <c r="HA28" s="189"/>
      <c r="HB28" s="189"/>
      <c r="HC28" s="189"/>
      <c r="HD28" s="189"/>
      <c r="HE28" s="189"/>
      <c r="HF28" s="189"/>
      <c r="HG28" s="189"/>
      <c r="HH28" s="189"/>
      <c r="HI28" s="189"/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189"/>
      <c r="HV28" s="189"/>
      <c r="HW28" s="189"/>
      <c r="HX28" s="189"/>
      <c r="HY28" s="189"/>
      <c r="HZ28" s="189"/>
      <c r="IA28" s="189"/>
      <c r="IB28" s="189"/>
      <c r="IC28" s="189"/>
      <c r="ID28" s="189"/>
      <c r="IE28" s="189"/>
      <c r="IF28" s="189"/>
      <c r="IG28" s="189"/>
      <c r="IH28" s="189"/>
      <c r="II28" s="189"/>
      <c r="IJ28" s="189"/>
      <c r="IK28" s="189"/>
      <c r="IL28" s="189"/>
      <c r="IM28" s="189"/>
      <c r="IN28" s="189"/>
      <c r="IO28" s="189"/>
      <c r="IP28" s="189"/>
      <c r="IQ28" s="189"/>
      <c r="IR28" s="189"/>
      <c r="IS28" s="189"/>
      <c r="IT28" s="189"/>
      <c r="IU28" s="189"/>
    </row>
    <row r="29" spans="1:255" s="40" customFormat="1" ht="24" x14ac:dyDescent="0.2">
      <c r="A29" s="199">
        <v>8</v>
      </c>
      <c r="B29" s="200" t="s">
        <v>381</v>
      </c>
      <c r="C29" s="200" t="s">
        <v>383</v>
      </c>
      <c r="D29" s="200" t="s">
        <v>129</v>
      </c>
      <c r="E29" s="201">
        <f t="shared" si="0"/>
        <v>0.1764</v>
      </c>
      <c r="F29" s="202"/>
      <c r="G29" s="202"/>
      <c r="H29" s="203"/>
      <c r="I29" s="203"/>
      <c r="N29" s="189"/>
      <c r="O29" s="189">
        <f t="shared" si="1"/>
        <v>0.1764</v>
      </c>
      <c r="P29" s="189">
        <f>SmtRes!CX34</f>
        <v>0.1404</v>
      </c>
      <c r="Q29" s="189">
        <f>SmtRes!CX58</f>
        <v>2.0400000000000001E-2</v>
      </c>
      <c r="R29" s="189">
        <f>SmtRes!CX82</f>
        <v>1.5599999999999999E-2</v>
      </c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189"/>
      <c r="EC29" s="189"/>
      <c r="ED29" s="189"/>
      <c r="EE29" s="189"/>
      <c r="EF29" s="189"/>
      <c r="EG29" s="189"/>
      <c r="EH29" s="189"/>
      <c r="EI29" s="189"/>
      <c r="EJ29" s="189"/>
      <c r="EK29" s="189"/>
      <c r="EL29" s="189"/>
      <c r="EM29" s="189"/>
      <c r="EN29" s="189"/>
      <c r="EO29" s="189"/>
      <c r="EP29" s="189"/>
      <c r="EQ29" s="189"/>
      <c r="ER29" s="189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89"/>
      <c r="FF29" s="189"/>
      <c r="FG29" s="189"/>
      <c r="FH29" s="189"/>
      <c r="FI29" s="189"/>
      <c r="FJ29" s="189"/>
      <c r="FK29" s="189"/>
      <c r="FL29" s="189"/>
      <c r="FM29" s="189"/>
      <c r="FN29" s="189"/>
      <c r="FO29" s="189"/>
      <c r="FP29" s="189"/>
      <c r="FQ29" s="189"/>
      <c r="FR29" s="189"/>
      <c r="FS29" s="189"/>
      <c r="FT29" s="189"/>
      <c r="FU29" s="189"/>
      <c r="FV29" s="189"/>
      <c r="FW29" s="189"/>
      <c r="FX29" s="189"/>
      <c r="FY29" s="189"/>
      <c r="FZ29" s="189"/>
      <c r="GA29" s="189"/>
      <c r="GB29" s="189"/>
      <c r="GC29" s="189"/>
      <c r="GD29" s="189"/>
      <c r="GE29" s="189"/>
      <c r="GF29" s="189"/>
      <c r="GG29" s="189"/>
      <c r="GH29" s="189"/>
      <c r="GI29" s="189"/>
      <c r="GJ29" s="189"/>
      <c r="GK29" s="189"/>
      <c r="GL29" s="189"/>
      <c r="GM29" s="189"/>
      <c r="GN29" s="189"/>
      <c r="GO29" s="189"/>
      <c r="GP29" s="189"/>
      <c r="GQ29" s="189"/>
      <c r="GR29" s="189"/>
      <c r="GS29" s="189"/>
      <c r="GT29" s="189"/>
      <c r="GU29" s="189"/>
      <c r="GV29" s="189"/>
      <c r="GW29" s="189"/>
      <c r="GX29" s="189"/>
      <c r="GY29" s="189"/>
      <c r="GZ29" s="189"/>
      <c r="HA29" s="189"/>
      <c r="HB29" s="189"/>
      <c r="HC29" s="189"/>
      <c r="HD29" s="189"/>
      <c r="HE29" s="189"/>
      <c r="HF29" s="189"/>
      <c r="HG29" s="189"/>
      <c r="HH29" s="189"/>
      <c r="HI29" s="189"/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189"/>
      <c r="HV29" s="189"/>
      <c r="HW29" s="189"/>
      <c r="HX29" s="189"/>
      <c r="HY29" s="189"/>
      <c r="HZ29" s="189"/>
      <c r="IA29" s="189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</row>
    <row r="30" spans="1:255" s="40" customFormat="1" ht="24" x14ac:dyDescent="0.2">
      <c r="A30" s="199">
        <v>9</v>
      </c>
      <c r="B30" s="200" t="s">
        <v>434</v>
      </c>
      <c r="C30" s="200" t="s">
        <v>436</v>
      </c>
      <c r="D30" s="200" t="s">
        <v>33</v>
      </c>
      <c r="E30" s="201">
        <f t="shared" si="0"/>
        <v>1.4</v>
      </c>
      <c r="F30" s="202"/>
      <c r="G30" s="202"/>
      <c r="H30" s="203"/>
      <c r="I30" s="203"/>
      <c r="N30" s="189"/>
      <c r="O30" s="189">
        <f t="shared" si="1"/>
        <v>1.4</v>
      </c>
      <c r="P30" s="189">
        <f>SmtRes!CX105</f>
        <v>1.4</v>
      </c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</row>
    <row r="31" spans="1:255" s="40" customFormat="1" ht="24" x14ac:dyDescent="0.2">
      <c r="A31" s="199">
        <v>10</v>
      </c>
      <c r="B31" s="200" t="s">
        <v>384</v>
      </c>
      <c r="C31" s="200" t="s">
        <v>386</v>
      </c>
      <c r="D31" s="200" t="s">
        <v>129</v>
      </c>
      <c r="E31" s="201">
        <f t="shared" si="0"/>
        <v>3.9609999999999999E-2</v>
      </c>
      <c r="F31" s="202"/>
      <c r="G31" s="202"/>
      <c r="H31" s="203"/>
      <c r="I31" s="203"/>
      <c r="N31" s="189"/>
      <c r="O31" s="189">
        <f t="shared" si="1"/>
        <v>3.9609999999999999E-2</v>
      </c>
      <c r="P31" s="189">
        <f>SmtRes!CX35</f>
        <v>3.3149999999999999E-2</v>
      </c>
      <c r="Q31" s="189">
        <f>SmtRes!CX59</f>
        <v>6.4599999999999996E-3</v>
      </c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</row>
    <row r="32" spans="1:255" s="40" customFormat="1" ht="24" x14ac:dyDescent="0.2">
      <c r="A32" s="199">
        <v>11</v>
      </c>
      <c r="B32" s="200" t="s">
        <v>444</v>
      </c>
      <c r="C32" s="200" t="s">
        <v>446</v>
      </c>
      <c r="D32" s="200" t="s">
        <v>440</v>
      </c>
      <c r="E32" s="201">
        <f t="shared" si="0"/>
        <v>15.2</v>
      </c>
      <c r="F32" s="202"/>
      <c r="G32" s="202"/>
      <c r="H32" s="203"/>
      <c r="I32" s="203"/>
      <c r="N32" s="189"/>
      <c r="O32" s="189">
        <f t="shared" si="1"/>
        <v>15.2</v>
      </c>
      <c r="P32" s="189">
        <f>SmtRes!CX108</f>
        <v>15.2</v>
      </c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</row>
    <row r="33" spans="1:255" s="40" customFormat="1" ht="36" x14ac:dyDescent="0.2">
      <c r="A33" s="199">
        <v>12</v>
      </c>
      <c r="B33" s="200" t="s">
        <v>447</v>
      </c>
      <c r="C33" s="200" t="s">
        <v>449</v>
      </c>
      <c r="D33" s="200" t="s">
        <v>440</v>
      </c>
      <c r="E33" s="201">
        <f t="shared" si="0"/>
        <v>2</v>
      </c>
      <c r="F33" s="202"/>
      <c r="G33" s="202"/>
      <c r="H33" s="203"/>
      <c r="I33" s="203"/>
      <c r="N33" s="189"/>
      <c r="O33" s="189">
        <f t="shared" si="1"/>
        <v>2</v>
      </c>
      <c r="P33" s="189">
        <f>SmtRes!CX109</f>
        <v>2</v>
      </c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  <c r="EF33" s="189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189"/>
      <c r="FS33" s="189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89"/>
      <c r="GF33" s="189"/>
      <c r="GG33" s="189"/>
      <c r="GH33" s="189"/>
      <c r="GI33" s="189"/>
      <c r="GJ33" s="189"/>
      <c r="GK33" s="189"/>
      <c r="GL33" s="189"/>
      <c r="GM33" s="189"/>
      <c r="GN33" s="189"/>
      <c r="GO33" s="189"/>
      <c r="GP33" s="189"/>
      <c r="GQ33" s="189"/>
      <c r="GR33" s="189"/>
      <c r="GS33" s="189"/>
      <c r="GT33" s="189"/>
      <c r="GU33" s="189"/>
      <c r="GV33" s="189"/>
      <c r="GW33" s="189"/>
      <c r="GX33" s="189"/>
      <c r="GY33" s="189"/>
      <c r="GZ33" s="189"/>
      <c r="HA33" s="189"/>
      <c r="HB33" s="189"/>
      <c r="HC33" s="189"/>
      <c r="HD33" s="189"/>
      <c r="HE33" s="189"/>
      <c r="HF33" s="189"/>
      <c r="HG33" s="189"/>
      <c r="HH33" s="189"/>
      <c r="HI33" s="189"/>
      <c r="HJ33" s="189"/>
      <c r="HK33" s="189"/>
      <c r="HL33" s="189"/>
      <c r="HM33" s="189"/>
      <c r="HN33" s="189"/>
      <c r="HO33" s="189"/>
      <c r="HP33" s="189"/>
      <c r="HQ33" s="189"/>
      <c r="HR33" s="189"/>
      <c r="HS33" s="189"/>
      <c r="HT33" s="189"/>
      <c r="HU33" s="189"/>
      <c r="HV33" s="189"/>
      <c r="HW33" s="189"/>
      <c r="HX33" s="189"/>
      <c r="HY33" s="189"/>
      <c r="HZ33" s="189"/>
      <c r="IA33" s="189"/>
      <c r="IB33" s="189"/>
      <c r="IC33" s="189"/>
      <c r="ID33" s="189"/>
      <c r="IE33" s="189"/>
      <c r="IF33" s="189"/>
      <c r="IG33" s="189"/>
      <c r="IH33" s="189"/>
      <c r="II33" s="189"/>
      <c r="IJ33" s="189"/>
      <c r="IK33" s="189"/>
      <c r="IL33" s="189"/>
      <c r="IM33" s="189"/>
      <c r="IN33" s="189"/>
      <c r="IO33" s="189"/>
      <c r="IP33" s="189"/>
      <c r="IQ33" s="189"/>
      <c r="IR33" s="189"/>
      <c r="IS33" s="189"/>
      <c r="IT33" s="189"/>
      <c r="IU33" s="189"/>
    </row>
    <row r="34" spans="1:255" s="40" customFormat="1" ht="36" x14ac:dyDescent="0.2">
      <c r="A34" s="199">
        <v>13</v>
      </c>
      <c r="B34" s="200" t="s">
        <v>387</v>
      </c>
      <c r="C34" s="200" t="s">
        <v>389</v>
      </c>
      <c r="D34" s="200" t="s">
        <v>129</v>
      </c>
      <c r="E34" s="201">
        <f t="shared" si="0"/>
        <v>2.3518000000000001E-2</v>
      </c>
      <c r="F34" s="202"/>
      <c r="G34" s="202"/>
      <c r="H34" s="203"/>
      <c r="I34" s="203"/>
      <c r="N34" s="189"/>
      <c r="O34" s="189">
        <f t="shared" si="1"/>
        <v>2.3518000000000001E-2</v>
      </c>
      <c r="P34" s="189">
        <f>SmtRes!CX36</f>
        <v>1.5599999999999999E-2</v>
      </c>
      <c r="Q34" s="189">
        <f>SmtRes!CX60</f>
        <v>2.3800000000000002E-3</v>
      </c>
      <c r="R34" s="189">
        <f>SmtRes!CX86</f>
        <v>5.5380000000000004E-3</v>
      </c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  <c r="DW34" s="189"/>
      <c r="DX34" s="189"/>
      <c r="DY34" s="189"/>
      <c r="DZ34" s="189"/>
      <c r="EA34" s="189"/>
      <c r="EB34" s="189"/>
      <c r="EC34" s="189"/>
      <c r="ED34" s="189"/>
      <c r="EE34" s="189"/>
      <c r="EF34" s="189"/>
      <c r="EG34" s="189"/>
      <c r="EH34" s="189"/>
      <c r="EI34" s="189"/>
      <c r="EJ34" s="189"/>
      <c r="EK34" s="189"/>
      <c r="EL34" s="189"/>
      <c r="EM34" s="189"/>
      <c r="EN34" s="189"/>
      <c r="EO34" s="189"/>
      <c r="EP34" s="189"/>
      <c r="EQ34" s="189"/>
      <c r="ER34" s="189"/>
      <c r="ES34" s="189"/>
      <c r="ET34" s="189"/>
      <c r="EU34" s="189"/>
      <c r="EV34" s="189"/>
      <c r="EW34" s="189"/>
      <c r="EX34" s="189"/>
      <c r="EY34" s="189"/>
      <c r="EZ34" s="189"/>
      <c r="FA34" s="189"/>
      <c r="FB34" s="189"/>
      <c r="FC34" s="189"/>
      <c r="FD34" s="189"/>
      <c r="FE34" s="189"/>
      <c r="FF34" s="189"/>
      <c r="FG34" s="189"/>
      <c r="FH34" s="189"/>
      <c r="FI34" s="189"/>
      <c r="FJ34" s="189"/>
      <c r="FK34" s="189"/>
      <c r="FL34" s="189"/>
      <c r="FM34" s="189"/>
      <c r="FN34" s="189"/>
      <c r="FO34" s="189"/>
      <c r="FP34" s="189"/>
      <c r="FQ34" s="189"/>
      <c r="FR34" s="189"/>
      <c r="FS34" s="189"/>
      <c r="FT34" s="189"/>
      <c r="FU34" s="189"/>
      <c r="FV34" s="189"/>
      <c r="FW34" s="189"/>
      <c r="FX34" s="189"/>
      <c r="FY34" s="189"/>
      <c r="FZ34" s="189"/>
      <c r="GA34" s="189"/>
      <c r="GB34" s="189"/>
      <c r="GC34" s="189"/>
      <c r="GD34" s="189"/>
      <c r="GE34" s="189"/>
      <c r="GF34" s="189"/>
      <c r="GG34" s="189"/>
      <c r="GH34" s="189"/>
      <c r="GI34" s="189"/>
      <c r="GJ34" s="189"/>
      <c r="GK34" s="189"/>
      <c r="GL34" s="189"/>
      <c r="GM34" s="189"/>
      <c r="GN34" s="189"/>
      <c r="GO34" s="189"/>
      <c r="GP34" s="189"/>
      <c r="GQ34" s="189"/>
      <c r="GR34" s="189"/>
      <c r="GS34" s="189"/>
      <c r="GT34" s="189"/>
      <c r="GU34" s="189"/>
      <c r="GV34" s="189"/>
      <c r="GW34" s="189"/>
      <c r="GX34" s="189"/>
      <c r="GY34" s="189"/>
      <c r="GZ34" s="189"/>
      <c r="HA34" s="189"/>
      <c r="HB34" s="189"/>
      <c r="HC34" s="189"/>
      <c r="HD34" s="189"/>
      <c r="HE34" s="189"/>
      <c r="HF34" s="189"/>
      <c r="HG34" s="189"/>
      <c r="HH34" s="189"/>
      <c r="HI34" s="189"/>
      <c r="HJ34" s="189"/>
      <c r="HK34" s="189"/>
      <c r="HL34" s="189"/>
      <c r="HM34" s="189"/>
      <c r="HN34" s="189"/>
      <c r="HO34" s="189"/>
      <c r="HP34" s="189"/>
      <c r="HQ34" s="189"/>
      <c r="HR34" s="189"/>
      <c r="HS34" s="189"/>
      <c r="HT34" s="189"/>
      <c r="HU34" s="189"/>
      <c r="HV34" s="189"/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89"/>
      <c r="II34" s="189"/>
      <c r="IJ34" s="189"/>
      <c r="IK34" s="189"/>
      <c r="IL34" s="189"/>
      <c r="IM34" s="189"/>
      <c r="IN34" s="189"/>
      <c r="IO34" s="189"/>
      <c r="IP34" s="189"/>
      <c r="IQ34" s="189"/>
      <c r="IR34" s="189"/>
      <c r="IS34" s="189"/>
      <c r="IT34" s="189"/>
      <c r="IU34" s="189"/>
    </row>
    <row r="35" spans="1:255" s="40" customFormat="1" ht="24" x14ac:dyDescent="0.2">
      <c r="A35" s="199">
        <v>14</v>
      </c>
      <c r="B35" s="200" t="s">
        <v>437</v>
      </c>
      <c r="C35" s="200" t="s">
        <v>439</v>
      </c>
      <c r="D35" s="200" t="s">
        <v>440</v>
      </c>
      <c r="E35" s="201">
        <f t="shared" si="0"/>
        <v>0.24</v>
      </c>
      <c r="F35" s="202"/>
      <c r="G35" s="202"/>
      <c r="H35" s="203"/>
      <c r="I35" s="203"/>
      <c r="N35" s="189"/>
      <c r="O35" s="189">
        <f t="shared" si="1"/>
        <v>0.24</v>
      </c>
      <c r="P35" s="189">
        <f>SmtRes!CX106</f>
        <v>0.24</v>
      </c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89"/>
      <c r="EH35" s="189"/>
      <c r="EI35" s="189"/>
      <c r="EJ35" s="189"/>
      <c r="EK35" s="189"/>
      <c r="EL35" s="189"/>
      <c r="EM35" s="189"/>
      <c r="EN35" s="189"/>
      <c r="EO35" s="189"/>
      <c r="EP35" s="189"/>
      <c r="EQ35" s="189"/>
      <c r="ER35" s="189"/>
      <c r="ES35" s="189"/>
      <c r="ET35" s="189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89"/>
      <c r="FF35" s="189"/>
      <c r="FG35" s="189"/>
      <c r="FH35" s="189"/>
      <c r="FI35" s="189"/>
      <c r="FJ35" s="189"/>
      <c r="FK35" s="189"/>
      <c r="FL35" s="189"/>
      <c r="FM35" s="189"/>
      <c r="FN35" s="189"/>
      <c r="FO35" s="189"/>
      <c r="FP35" s="189"/>
      <c r="FQ35" s="189"/>
      <c r="FR35" s="189"/>
      <c r="FS35" s="189"/>
      <c r="FT35" s="189"/>
      <c r="FU35" s="189"/>
      <c r="FV35" s="189"/>
      <c r="FW35" s="189"/>
      <c r="FX35" s="189"/>
      <c r="FY35" s="189"/>
      <c r="FZ35" s="189"/>
      <c r="GA35" s="189"/>
      <c r="GB35" s="189"/>
      <c r="GC35" s="189"/>
      <c r="GD35" s="189"/>
      <c r="GE35" s="189"/>
      <c r="GF35" s="189"/>
      <c r="GG35" s="189"/>
      <c r="GH35" s="189"/>
      <c r="GI35" s="189"/>
      <c r="GJ35" s="189"/>
      <c r="GK35" s="189"/>
      <c r="GL35" s="189"/>
      <c r="GM35" s="189"/>
      <c r="GN35" s="189"/>
      <c r="GO35" s="189"/>
      <c r="GP35" s="189"/>
      <c r="GQ35" s="189"/>
      <c r="GR35" s="189"/>
      <c r="GS35" s="189"/>
      <c r="GT35" s="189"/>
      <c r="GU35" s="189"/>
      <c r="GV35" s="189"/>
      <c r="GW35" s="189"/>
      <c r="GX35" s="189"/>
      <c r="GY35" s="189"/>
      <c r="GZ35" s="189"/>
      <c r="HA35" s="189"/>
      <c r="HB35" s="189"/>
      <c r="HC35" s="189"/>
      <c r="HD35" s="189"/>
      <c r="HE35" s="189"/>
      <c r="HF35" s="189"/>
      <c r="HG35" s="189"/>
      <c r="HH35" s="189"/>
      <c r="HI35" s="189"/>
      <c r="HJ35" s="189"/>
      <c r="HK35" s="189"/>
      <c r="HL35" s="189"/>
      <c r="HM35" s="189"/>
      <c r="HN35" s="189"/>
      <c r="HO35" s="189"/>
      <c r="HP35" s="189"/>
      <c r="HQ35" s="189"/>
      <c r="HR35" s="189"/>
      <c r="HS35" s="189"/>
      <c r="HT35" s="189"/>
      <c r="HU35" s="189"/>
      <c r="HV35" s="189"/>
      <c r="HW35" s="189"/>
      <c r="HX35" s="189"/>
      <c r="HY35" s="189"/>
      <c r="HZ35" s="189"/>
      <c r="IA35" s="189"/>
      <c r="IB35" s="189"/>
      <c r="IC35" s="189"/>
      <c r="ID35" s="189"/>
      <c r="IE35" s="189"/>
      <c r="IF35" s="189"/>
      <c r="IG35" s="189"/>
      <c r="IH35" s="189"/>
      <c r="II35" s="189"/>
      <c r="IJ35" s="189"/>
      <c r="IK35" s="189"/>
      <c r="IL35" s="189"/>
      <c r="IM35" s="189"/>
      <c r="IN35" s="189"/>
      <c r="IO35" s="189"/>
      <c r="IP35" s="189"/>
      <c r="IQ35" s="189"/>
      <c r="IR35" s="189"/>
      <c r="IS35" s="189"/>
      <c r="IT35" s="189"/>
      <c r="IU35" s="189"/>
    </row>
    <row r="36" spans="1:255" s="40" customFormat="1" ht="24" x14ac:dyDescent="0.2">
      <c r="A36" s="199">
        <v>15</v>
      </c>
      <c r="B36" s="200" t="s">
        <v>396</v>
      </c>
      <c r="C36" s="200" t="s">
        <v>398</v>
      </c>
      <c r="D36" s="200" t="s">
        <v>33</v>
      </c>
      <c r="E36" s="201">
        <f t="shared" si="0"/>
        <v>0.134795</v>
      </c>
      <c r="F36" s="202"/>
      <c r="G36" s="202"/>
      <c r="H36" s="203"/>
      <c r="I36" s="203"/>
      <c r="N36" s="189"/>
      <c r="O36" s="189">
        <f t="shared" si="1"/>
        <v>0.134795</v>
      </c>
      <c r="P36" s="189">
        <f>SmtRes!CX41</f>
        <v>8.6775000000000005E-2</v>
      </c>
      <c r="Q36" s="189">
        <f>SmtRes!CX65</f>
        <v>1.2919999999999999E-2</v>
      </c>
      <c r="R36" s="189">
        <f>SmtRes!CX91</f>
        <v>3.5099999999999999E-2</v>
      </c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9"/>
      <c r="BN36" s="189"/>
      <c r="BO36" s="189"/>
      <c r="BP36" s="189"/>
      <c r="BQ36" s="189"/>
      <c r="BR36" s="189"/>
      <c r="BS36" s="189"/>
      <c r="BT36" s="189"/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  <c r="DW36" s="189"/>
      <c r="DX36" s="189"/>
      <c r="DY36" s="189"/>
      <c r="DZ36" s="189"/>
      <c r="EA36" s="189"/>
      <c r="EB36" s="189"/>
      <c r="EC36" s="189"/>
      <c r="ED36" s="189"/>
      <c r="EE36" s="189"/>
      <c r="EF36" s="189"/>
      <c r="EG36" s="189"/>
      <c r="EH36" s="189"/>
      <c r="EI36" s="189"/>
      <c r="EJ36" s="189"/>
      <c r="EK36" s="189"/>
      <c r="EL36" s="189"/>
      <c r="EM36" s="189"/>
      <c r="EN36" s="189"/>
      <c r="EO36" s="189"/>
      <c r="EP36" s="189"/>
      <c r="EQ36" s="189"/>
      <c r="ER36" s="189"/>
      <c r="ES36" s="189"/>
      <c r="ET36" s="189"/>
      <c r="EU36" s="189"/>
      <c r="EV36" s="189"/>
      <c r="EW36" s="189"/>
      <c r="EX36" s="189"/>
      <c r="EY36" s="189"/>
      <c r="EZ36" s="189"/>
      <c r="FA36" s="189"/>
      <c r="FB36" s="189"/>
      <c r="FC36" s="189"/>
      <c r="FD36" s="189"/>
      <c r="FE36" s="189"/>
      <c r="FF36" s="189"/>
      <c r="FG36" s="189"/>
      <c r="FH36" s="189"/>
      <c r="FI36" s="189"/>
      <c r="FJ36" s="189"/>
      <c r="FK36" s="189"/>
      <c r="FL36" s="189"/>
      <c r="FM36" s="189"/>
      <c r="FN36" s="189"/>
      <c r="FO36" s="189"/>
      <c r="FP36" s="189"/>
      <c r="FQ36" s="189"/>
      <c r="FR36" s="189"/>
      <c r="FS36" s="189"/>
      <c r="FT36" s="189"/>
      <c r="FU36" s="189"/>
      <c r="FV36" s="189"/>
      <c r="FW36" s="189"/>
      <c r="FX36" s="189"/>
      <c r="FY36" s="189"/>
      <c r="FZ36" s="189"/>
      <c r="GA36" s="189"/>
      <c r="GB36" s="189"/>
      <c r="GC36" s="189"/>
      <c r="GD36" s="189"/>
      <c r="GE36" s="189"/>
      <c r="GF36" s="189"/>
      <c r="GG36" s="189"/>
      <c r="GH36" s="189"/>
      <c r="GI36" s="189"/>
      <c r="GJ36" s="189"/>
      <c r="GK36" s="189"/>
      <c r="GL36" s="189"/>
      <c r="GM36" s="189"/>
      <c r="GN36" s="189"/>
      <c r="GO36" s="189"/>
      <c r="GP36" s="189"/>
      <c r="GQ36" s="189"/>
      <c r="GR36" s="189"/>
      <c r="GS36" s="189"/>
      <c r="GT36" s="189"/>
      <c r="GU36" s="189"/>
      <c r="GV36" s="189"/>
      <c r="GW36" s="189"/>
      <c r="GX36" s="189"/>
      <c r="GY36" s="189"/>
      <c r="GZ36" s="189"/>
      <c r="HA36" s="189"/>
      <c r="HB36" s="189"/>
      <c r="HC36" s="189"/>
      <c r="HD36" s="189"/>
      <c r="HE36" s="189"/>
      <c r="HF36" s="189"/>
      <c r="HG36" s="189"/>
      <c r="HH36" s="189"/>
      <c r="HI36" s="189"/>
      <c r="HJ36" s="189"/>
      <c r="HK36" s="189"/>
      <c r="HL36" s="189"/>
      <c r="HM36" s="189"/>
      <c r="HN36" s="189"/>
      <c r="HO36" s="189"/>
      <c r="HP36" s="189"/>
      <c r="HQ36" s="189"/>
      <c r="HR36" s="189"/>
      <c r="HS36" s="189"/>
      <c r="HT36" s="189"/>
      <c r="HU36" s="189"/>
      <c r="HV36" s="189"/>
      <c r="HW36" s="189"/>
      <c r="HX36" s="189"/>
      <c r="HY36" s="189"/>
      <c r="HZ36" s="189"/>
      <c r="IA36" s="189"/>
      <c r="IB36" s="189"/>
      <c r="IC36" s="189"/>
      <c r="ID36" s="189"/>
      <c r="IE36" s="189"/>
      <c r="IF36" s="189"/>
      <c r="IG36" s="189"/>
      <c r="IH36" s="189"/>
      <c r="II36" s="189"/>
      <c r="IJ36" s="189"/>
      <c r="IK36" s="189"/>
      <c r="IL36" s="189"/>
      <c r="IM36" s="189"/>
      <c r="IN36" s="189"/>
      <c r="IO36" s="189"/>
      <c r="IP36" s="189"/>
      <c r="IQ36" s="189"/>
      <c r="IR36" s="189"/>
      <c r="IS36" s="189"/>
      <c r="IT36" s="189"/>
      <c r="IU36" s="189"/>
    </row>
    <row r="37" spans="1:255" s="40" customFormat="1" ht="24" x14ac:dyDescent="0.2">
      <c r="A37" s="199">
        <v>16</v>
      </c>
      <c r="B37" s="200" t="s">
        <v>416</v>
      </c>
      <c r="C37" s="200" t="s">
        <v>418</v>
      </c>
      <c r="D37" s="200" t="s">
        <v>33</v>
      </c>
      <c r="E37" s="201">
        <f t="shared" si="0"/>
        <v>0.312</v>
      </c>
      <c r="F37" s="202"/>
      <c r="G37" s="202"/>
      <c r="H37" s="203"/>
      <c r="I37" s="203"/>
      <c r="N37" s="189"/>
      <c r="O37" s="189">
        <f t="shared" si="1"/>
        <v>0.312</v>
      </c>
      <c r="P37" s="189">
        <f>SmtRes!CX92</f>
        <v>0.312</v>
      </c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89"/>
      <c r="BO37" s="189"/>
      <c r="BP37" s="189"/>
      <c r="BQ37" s="189"/>
      <c r="BR37" s="189"/>
      <c r="BS37" s="189"/>
      <c r="BT37" s="189"/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89"/>
      <c r="CF37" s="189"/>
      <c r="CG37" s="189"/>
      <c r="CH37" s="189"/>
      <c r="CI37" s="189"/>
      <c r="CJ37" s="189"/>
      <c r="CK37" s="189"/>
      <c r="CL37" s="189"/>
      <c r="CM37" s="189"/>
      <c r="CN37" s="189"/>
      <c r="CO37" s="189"/>
      <c r="CP37" s="189"/>
      <c r="CQ37" s="189"/>
      <c r="CR37" s="189"/>
      <c r="CS37" s="189"/>
      <c r="CT37" s="189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  <c r="DM37" s="189"/>
      <c r="DN37" s="189"/>
      <c r="DO37" s="189"/>
      <c r="DP37" s="189"/>
      <c r="DQ37" s="189"/>
      <c r="DR37" s="189"/>
      <c r="DS37" s="189"/>
      <c r="DT37" s="189"/>
      <c r="DU37" s="189"/>
      <c r="DV37" s="189"/>
      <c r="DW37" s="189"/>
      <c r="DX37" s="189"/>
      <c r="DY37" s="189"/>
      <c r="DZ37" s="189"/>
      <c r="EA37" s="189"/>
      <c r="EB37" s="189"/>
      <c r="EC37" s="189"/>
      <c r="ED37" s="189"/>
      <c r="EE37" s="189"/>
      <c r="EF37" s="189"/>
      <c r="EG37" s="189"/>
      <c r="EH37" s="189"/>
      <c r="EI37" s="189"/>
      <c r="EJ37" s="189"/>
      <c r="EK37" s="189"/>
      <c r="EL37" s="189"/>
      <c r="EM37" s="189"/>
      <c r="EN37" s="189"/>
      <c r="EO37" s="189"/>
      <c r="EP37" s="189"/>
      <c r="EQ37" s="189"/>
      <c r="ER37" s="189"/>
      <c r="ES37" s="189"/>
      <c r="ET37" s="189"/>
      <c r="EU37" s="189"/>
      <c r="EV37" s="189"/>
      <c r="EW37" s="189"/>
      <c r="EX37" s="189"/>
      <c r="EY37" s="189"/>
      <c r="EZ37" s="189"/>
      <c r="FA37" s="189"/>
      <c r="FB37" s="189"/>
      <c r="FC37" s="189"/>
      <c r="FD37" s="189"/>
      <c r="FE37" s="189"/>
      <c r="FF37" s="189"/>
      <c r="FG37" s="189"/>
      <c r="FH37" s="189"/>
      <c r="FI37" s="189"/>
      <c r="FJ37" s="189"/>
      <c r="FK37" s="189"/>
      <c r="FL37" s="189"/>
      <c r="FM37" s="189"/>
      <c r="FN37" s="189"/>
      <c r="FO37" s="189"/>
      <c r="FP37" s="189"/>
      <c r="FQ37" s="189"/>
      <c r="FR37" s="189"/>
      <c r="FS37" s="189"/>
      <c r="FT37" s="189"/>
      <c r="FU37" s="189"/>
      <c r="FV37" s="189"/>
      <c r="FW37" s="189"/>
      <c r="FX37" s="189"/>
      <c r="FY37" s="189"/>
      <c r="FZ37" s="189"/>
      <c r="GA37" s="189"/>
      <c r="GB37" s="189"/>
      <c r="GC37" s="189"/>
      <c r="GD37" s="189"/>
      <c r="GE37" s="189"/>
      <c r="GF37" s="189"/>
      <c r="GG37" s="189"/>
      <c r="GH37" s="189"/>
      <c r="GI37" s="189"/>
      <c r="GJ37" s="189"/>
      <c r="GK37" s="189"/>
      <c r="GL37" s="189"/>
      <c r="GM37" s="189"/>
      <c r="GN37" s="189"/>
      <c r="GO37" s="189"/>
      <c r="GP37" s="189"/>
      <c r="GQ37" s="189"/>
      <c r="GR37" s="189"/>
      <c r="GS37" s="189"/>
      <c r="GT37" s="189"/>
      <c r="GU37" s="189"/>
      <c r="GV37" s="189"/>
      <c r="GW37" s="189"/>
      <c r="GX37" s="189"/>
      <c r="GY37" s="189"/>
      <c r="GZ37" s="189"/>
      <c r="HA37" s="189"/>
      <c r="HB37" s="189"/>
      <c r="HC37" s="189"/>
      <c r="HD37" s="189"/>
      <c r="HE37" s="189"/>
      <c r="HF37" s="189"/>
      <c r="HG37" s="189"/>
      <c r="HH37" s="189"/>
      <c r="HI37" s="189"/>
      <c r="HJ37" s="189"/>
      <c r="HK37" s="189"/>
      <c r="HL37" s="189"/>
      <c r="HM37" s="189"/>
      <c r="HN37" s="189"/>
      <c r="HO37" s="189"/>
      <c r="HP37" s="189"/>
      <c r="HQ37" s="189"/>
      <c r="HR37" s="189"/>
      <c r="HS37" s="189"/>
      <c r="HT37" s="189"/>
      <c r="HU37" s="189"/>
      <c r="HV37" s="189"/>
      <c r="HW37" s="189"/>
      <c r="HX37" s="189"/>
      <c r="HY37" s="189"/>
      <c r="HZ37" s="189"/>
      <c r="IA37" s="189"/>
      <c r="IB37" s="189"/>
      <c r="IC37" s="189"/>
      <c r="ID37" s="189"/>
      <c r="IE37" s="189"/>
      <c r="IF37" s="189"/>
      <c r="IG37" s="189"/>
      <c r="IH37" s="189"/>
      <c r="II37" s="189"/>
      <c r="IJ37" s="189"/>
      <c r="IK37" s="189"/>
      <c r="IL37" s="189"/>
      <c r="IM37" s="189"/>
      <c r="IN37" s="189"/>
      <c r="IO37" s="189"/>
      <c r="IP37" s="189"/>
      <c r="IQ37" s="189"/>
      <c r="IR37" s="189"/>
      <c r="IS37" s="189"/>
      <c r="IT37" s="189"/>
      <c r="IU37" s="189"/>
    </row>
    <row r="38" spans="1:255" s="40" customFormat="1" ht="24" x14ac:dyDescent="0.2">
      <c r="A38" s="199">
        <v>17</v>
      </c>
      <c r="B38" s="200" t="s">
        <v>399</v>
      </c>
      <c r="C38" s="200" t="s">
        <v>401</v>
      </c>
      <c r="D38" s="200" t="s">
        <v>33</v>
      </c>
      <c r="E38" s="201">
        <f t="shared" si="0"/>
        <v>1.6827999999999999</v>
      </c>
      <c r="F38" s="202"/>
      <c r="G38" s="202"/>
      <c r="H38" s="203"/>
      <c r="I38" s="203"/>
      <c r="N38" s="189"/>
      <c r="O38" s="189">
        <f t="shared" si="1"/>
        <v>1.6827999999999999</v>
      </c>
      <c r="P38" s="189">
        <f>SmtRes!CX42</f>
        <v>1.4039999999999999</v>
      </c>
      <c r="Q38" s="189">
        <f>SmtRes!CX66</f>
        <v>0.27879999999999999</v>
      </c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  <c r="FW38" s="189"/>
      <c r="FX38" s="189"/>
      <c r="FY38" s="189"/>
      <c r="FZ38" s="189"/>
      <c r="GA38" s="189"/>
      <c r="GB38" s="189"/>
      <c r="GC38" s="189"/>
      <c r="GD38" s="189"/>
      <c r="GE38" s="189"/>
      <c r="GF38" s="189"/>
      <c r="GG38" s="189"/>
      <c r="GH38" s="189"/>
      <c r="GI38" s="189"/>
      <c r="GJ38" s="189"/>
      <c r="GK38" s="189"/>
      <c r="GL38" s="189"/>
      <c r="GM38" s="189"/>
      <c r="GN38" s="189"/>
      <c r="GO38" s="189"/>
      <c r="GP38" s="189"/>
      <c r="GQ38" s="189"/>
      <c r="GR38" s="189"/>
      <c r="GS38" s="189"/>
      <c r="GT38" s="189"/>
      <c r="GU38" s="189"/>
      <c r="GV38" s="189"/>
      <c r="GW38" s="189"/>
      <c r="GX38" s="189"/>
      <c r="GY38" s="189"/>
      <c r="GZ38" s="189"/>
      <c r="HA38" s="189"/>
      <c r="HB38" s="189"/>
      <c r="HC38" s="189"/>
      <c r="HD38" s="189"/>
      <c r="HE38" s="189"/>
      <c r="HF38" s="189"/>
      <c r="HG38" s="189"/>
      <c r="HH38" s="189"/>
      <c r="HI38" s="189"/>
      <c r="HJ38" s="189"/>
      <c r="HK38" s="189"/>
      <c r="HL38" s="189"/>
      <c r="HM38" s="189"/>
      <c r="HN38" s="189"/>
      <c r="HO38" s="189"/>
      <c r="HP38" s="189"/>
      <c r="HQ38" s="189"/>
      <c r="HR38" s="189"/>
      <c r="HS38" s="189"/>
      <c r="HT38" s="189"/>
      <c r="HU38" s="189"/>
      <c r="HV38" s="189"/>
      <c r="HW38" s="189"/>
      <c r="HX38" s="189"/>
      <c r="HY38" s="189"/>
      <c r="HZ38" s="189"/>
      <c r="IA38" s="189"/>
      <c r="IB38" s="189"/>
      <c r="IC38" s="189"/>
      <c r="ID38" s="189"/>
      <c r="IE38" s="189"/>
      <c r="IF38" s="189"/>
      <c r="IG38" s="189"/>
      <c r="IH38" s="189"/>
      <c r="II38" s="189"/>
      <c r="IJ38" s="189"/>
      <c r="IK38" s="189"/>
      <c r="IL38" s="189"/>
      <c r="IM38" s="189"/>
      <c r="IN38" s="189"/>
      <c r="IO38" s="189"/>
      <c r="IP38" s="189"/>
      <c r="IQ38" s="189"/>
      <c r="IR38" s="189"/>
      <c r="IS38" s="189"/>
      <c r="IT38" s="189"/>
      <c r="IU38" s="189"/>
    </row>
    <row r="39" spans="1:255" s="40" customFormat="1" ht="24" x14ac:dyDescent="0.2">
      <c r="A39" s="199">
        <v>18</v>
      </c>
      <c r="B39" s="200" t="s">
        <v>410</v>
      </c>
      <c r="C39" s="200" t="s">
        <v>412</v>
      </c>
      <c r="D39" s="200" t="s">
        <v>99</v>
      </c>
      <c r="E39" s="201">
        <f t="shared" si="0"/>
        <v>30.263999999999999</v>
      </c>
      <c r="F39" s="202"/>
      <c r="G39" s="202"/>
      <c r="H39" s="203"/>
      <c r="I39" s="203"/>
      <c r="N39" s="189"/>
      <c r="O39" s="189">
        <f t="shared" si="1"/>
        <v>30.263999999999999</v>
      </c>
      <c r="P39" s="189">
        <f>SmtRes!CX84</f>
        <v>30.263999999999999</v>
      </c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  <c r="DW39" s="189"/>
      <c r="DX39" s="189"/>
      <c r="DY39" s="189"/>
      <c r="DZ39" s="189"/>
      <c r="EA39" s="189"/>
      <c r="EB39" s="189"/>
      <c r="EC39" s="189"/>
      <c r="ED39" s="189"/>
      <c r="EE39" s="189"/>
      <c r="EF39" s="189"/>
      <c r="EG39" s="189"/>
      <c r="EH39" s="189"/>
      <c r="EI39" s="189"/>
      <c r="EJ39" s="189"/>
      <c r="EK39" s="189"/>
      <c r="EL39" s="189"/>
      <c r="EM39" s="189"/>
      <c r="EN39" s="189"/>
      <c r="EO39" s="189"/>
      <c r="EP39" s="189"/>
      <c r="EQ39" s="189"/>
      <c r="ER39" s="189"/>
      <c r="ES39" s="189"/>
      <c r="ET39" s="189"/>
      <c r="EU39" s="189"/>
      <c r="EV39" s="189"/>
      <c r="EW39" s="189"/>
      <c r="EX39" s="189"/>
      <c r="EY39" s="189"/>
      <c r="EZ39" s="189"/>
      <c r="FA39" s="189"/>
      <c r="FB39" s="189"/>
      <c r="FC39" s="189"/>
      <c r="FD39" s="189"/>
      <c r="FE39" s="189"/>
      <c r="FF39" s="189"/>
      <c r="FG39" s="189"/>
      <c r="FH39" s="189"/>
      <c r="FI39" s="189"/>
      <c r="FJ39" s="189"/>
      <c r="FK39" s="189"/>
      <c r="FL39" s="189"/>
      <c r="FM39" s="189"/>
      <c r="FN39" s="189"/>
      <c r="FO39" s="189"/>
      <c r="FP39" s="189"/>
      <c r="FQ39" s="189"/>
      <c r="FR39" s="189"/>
      <c r="FS39" s="189"/>
      <c r="FT39" s="189"/>
      <c r="FU39" s="189"/>
      <c r="FV39" s="189"/>
      <c r="FW39" s="189"/>
      <c r="FX39" s="189"/>
      <c r="FY39" s="189"/>
      <c r="FZ39" s="189"/>
      <c r="GA39" s="189"/>
      <c r="GB39" s="189"/>
      <c r="GC39" s="189"/>
      <c r="GD39" s="189"/>
      <c r="GE39" s="189"/>
      <c r="GF39" s="189"/>
      <c r="GG39" s="189"/>
      <c r="GH39" s="189"/>
      <c r="GI39" s="189"/>
      <c r="GJ39" s="189"/>
      <c r="GK39" s="189"/>
      <c r="GL39" s="189"/>
      <c r="GM39" s="189"/>
      <c r="GN39" s="189"/>
      <c r="GO39" s="189"/>
      <c r="GP39" s="189"/>
      <c r="GQ39" s="189"/>
      <c r="GR39" s="189"/>
      <c r="GS39" s="189"/>
      <c r="GT39" s="189"/>
      <c r="GU39" s="189"/>
      <c r="GV39" s="189"/>
      <c r="GW39" s="189"/>
      <c r="GX39" s="189"/>
      <c r="GY39" s="189"/>
      <c r="GZ39" s="189"/>
      <c r="HA39" s="189"/>
      <c r="HB39" s="189"/>
      <c r="HC39" s="189"/>
      <c r="HD39" s="189"/>
      <c r="HE39" s="189"/>
      <c r="HF39" s="189"/>
      <c r="HG39" s="189"/>
      <c r="HH39" s="189"/>
      <c r="HI39" s="189"/>
      <c r="HJ39" s="189"/>
      <c r="HK39" s="189"/>
      <c r="HL39" s="189"/>
      <c r="HM39" s="189"/>
      <c r="HN39" s="189"/>
      <c r="HO39" s="189"/>
      <c r="HP39" s="189"/>
      <c r="HQ39" s="189"/>
      <c r="HR39" s="189"/>
      <c r="HS39" s="189"/>
      <c r="HT39" s="189"/>
      <c r="HU39" s="189"/>
      <c r="HV39" s="189"/>
      <c r="HW39" s="189"/>
      <c r="HX39" s="189"/>
      <c r="HY39" s="189"/>
      <c r="HZ39" s="189"/>
      <c r="IA39" s="189"/>
      <c r="IB39" s="189"/>
      <c r="IC39" s="189"/>
      <c r="ID39" s="189"/>
      <c r="IE39" s="189"/>
      <c r="IF39" s="189"/>
      <c r="IG39" s="189"/>
      <c r="IH39" s="189"/>
      <c r="II39" s="189"/>
      <c r="IJ39" s="189"/>
      <c r="IK39" s="189"/>
      <c r="IL39" s="189"/>
      <c r="IM39" s="189"/>
      <c r="IN39" s="189"/>
      <c r="IO39" s="189"/>
      <c r="IP39" s="189"/>
      <c r="IQ39" s="189"/>
      <c r="IR39" s="189"/>
      <c r="IS39" s="189"/>
      <c r="IT39" s="189"/>
      <c r="IU39" s="189"/>
    </row>
    <row r="40" spans="1:255" s="40" customFormat="1" ht="24" x14ac:dyDescent="0.2">
      <c r="A40" s="199">
        <v>19</v>
      </c>
      <c r="B40" s="200" t="s">
        <v>393</v>
      </c>
      <c r="C40" s="200" t="s">
        <v>395</v>
      </c>
      <c r="D40" s="200" t="s">
        <v>129</v>
      </c>
      <c r="E40" s="201">
        <f t="shared" si="0"/>
        <v>0.6613</v>
      </c>
      <c r="F40" s="202"/>
      <c r="G40" s="202"/>
      <c r="H40" s="203"/>
      <c r="I40" s="203"/>
      <c r="N40" s="189"/>
      <c r="O40" s="189">
        <f t="shared" si="1"/>
        <v>0.6613</v>
      </c>
      <c r="P40" s="189">
        <f>SmtRes!CX40</f>
        <v>0.40949999999999998</v>
      </c>
      <c r="Q40" s="189">
        <f>SmtRes!CX64</f>
        <v>6.4600000000000005E-2</v>
      </c>
      <c r="R40" s="189">
        <f>SmtRes!CX90</f>
        <v>0.18720000000000001</v>
      </c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  <c r="DW40" s="189"/>
      <c r="DX40" s="189"/>
      <c r="DY40" s="189"/>
      <c r="DZ40" s="189"/>
      <c r="EA40" s="189"/>
      <c r="EB40" s="189"/>
      <c r="EC40" s="189"/>
      <c r="ED40" s="189"/>
      <c r="EE40" s="189"/>
      <c r="EF40" s="189"/>
      <c r="EG40" s="189"/>
      <c r="EH40" s="189"/>
      <c r="EI40" s="189"/>
      <c r="EJ40" s="189"/>
      <c r="EK40" s="189"/>
      <c r="EL40" s="189"/>
      <c r="EM40" s="189"/>
      <c r="EN40" s="189"/>
      <c r="EO40" s="189"/>
      <c r="EP40" s="189"/>
      <c r="EQ40" s="189"/>
      <c r="ER40" s="189"/>
      <c r="ES40" s="189"/>
      <c r="ET40" s="189"/>
      <c r="EU40" s="189"/>
      <c r="EV40" s="189"/>
      <c r="EW40" s="189"/>
      <c r="EX40" s="189"/>
      <c r="EY40" s="189"/>
      <c r="EZ40" s="189"/>
      <c r="FA40" s="189"/>
      <c r="FB40" s="189"/>
      <c r="FC40" s="189"/>
      <c r="FD40" s="189"/>
      <c r="FE40" s="189"/>
      <c r="FF40" s="189"/>
      <c r="FG40" s="189"/>
      <c r="FH40" s="189"/>
      <c r="FI40" s="189"/>
      <c r="FJ40" s="189"/>
      <c r="FK40" s="189"/>
      <c r="FL40" s="189"/>
      <c r="FM40" s="189"/>
      <c r="FN40" s="189"/>
      <c r="FO40" s="189"/>
      <c r="FP40" s="189"/>
      <c r="FQ40" s="189"/>
      <c r="FR40" s="189"/>
      <c r="FS40" s="189"/>
      <c r="FT40" s="189"/>
      <c r="FU40" s="189"/>
      <c r="FV40" s="189"/>
      <c r="FW40" s="189"/>
      <c r="FX40" s="189"/>
      <c r="FY40" s="189"/>
      <c r="FZ40" s="189"/>
      <c r="GA40" s="189"/>
      <c r="GB40" s="189"/>
      <c r="GC40" s="189"/>
      <c r="GD40" s="189"/>
      <c r="GE40" s="189"/>
      <c r="GF40" s="189"/>
      <c r="GG40" s="189"/>
      <c r="GH40" s="189"/>
      <c r="GI40" s="189"/>
      <c r="GJ40" s="189"/>
      <c r="GK40" s="189"/>
      <c r="GL40" s="189"/>
      <c r="GM40" s="189"/>
      <c r="GN40" s="189"/>
      <c r="GO40" s="189"/>
      <c r="GP40" s="189"/>
      <c r="GQ40" s="189"/>
      <c r="GR40" s="189"/>
      <c r="GS40" s="189"/>
      <c r="GT40" s="189"/>
      <c r="GU40" s="189"/>
      <c r="GV40" s="189"/>
      <c r="GW40" s="189"/>
      <c r="GX40" s="189"/>
      <c r="GY40" s="189"/>
      <c r="GZ40" s="189"/>
      <c r="HA40" s="189"/>
      <c r="HB40" s="189"/>
      <c r="HC40" s="189"/>
      <c r="HD40" s="189"/>
      <c r="HE40" s="189"/>
      <c r="HF40" s="189"/>
      <c r="HG40" s="189"/>
      <c r="HH40" s="189"/>
      <c r="HI40" s="189"/>
      <c r="HJ40" s="189"/>
      <c r="HK40" s="189"/>
      <c r="HL40" s="189"/>
      <c r="HM40" s="189"/>
      <c r="HN40" s="189"/>
      <c r="HO40" s="189"/>
      <c r="HP40" s="189"/>
      <c r="HQ40" s="189"/>
      <c r="HR40" s="189"/>
      <c r="HS40" s="189"/>
      <c r="HT40" s="189"/>
      <c r="HU40" s="189"/>
      <c r="HV40" s="189"/>
      <c r="HW40" s="189"/>
      <c r="HX40" s="189"/>
      <c r="HY40" s="189"/>
      <c r="HZ40" s="189"/>
      <c r="IA40" s="189"/>
      <c r="IB40" s="189"/>
      <c r="IC40" s="189"/>
      <c r="ID40" s="189"/>
      <c r="IE40" s="189"/>
      <c r="IF40" s="189"/>
      <c r="IG40" s="189"/>
      <c r="IH40" s="189"/>
      <c r="II40" s="189"/>
      <c r="IJ40" s="189"/>
      <c r="IK40" s="189"/>
      <c r="IL40" s="189"/>
      <c r="IM40" s="189"/>
      <c r="IN40" s="189"/>
      <c r="IO40" s="189"/>
      <c r="IP40" s="189"/>
      <c r="IQ40" s="189"/>
      <c r="IR40" s="189"/>
      <c r="IS40" s="189"/>
      <c r="IT40" s="189"/>
      <c r="IU40" s="189"/>
    </row>
    <row r="41" spans="1:255" s="40" customFormat="1" ht="24" x14ac:dyDescent="0.2">
      <c r="A41" s="199">
        <v>20</v>
      </c>
      <c r="B41" s="200" t="s">
        <v>390</v>
      </c>
      <c r="C41" s="200" t="s">
        <v>392</v>
      </c>
      <c r="D41" s="200" t="s">
        <v>33</v>
      </c>
      <c r="E41" s="201">
        <f t="shared" si="0"/>
        <v>3.8807</v>
      </c>
      <c r="F41" s="202"/>
      <c r="G41" s="202"/>
      <c r="H41" s="203"/>
      <c r="I41" s="203"/>
      <c r="N41" s="189"/>
      <c r="O41" s="189">
        <f t="shared" si="1"/>
        <v>3.8807</v>
      </c>
      <c r="P41" s="189">
        <f>SmtRes!CX37</f>
        <v>2.4375</v>
      </c>
      <c r="Q41" s="189">
        <f>SmtRes!CX61</f>
        <v>0.34339999999999998</v>
      </c>
      <c r="R41" s="189">
        <f>SmtRes!CX87</f>
        <v>1.0998000000000001</v>
      </c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89"/>
      <c r="DT41" s="189"/>
      <c r="DU41" s="189"/>
      <c r="DV41" s="189"/>
      <c r="DW41" s="189"/>
      <c r="DX41" s="189"/>
      <c r="DY41" s="189"/>
      <c r="DZ41" s="189"/>
      <c r="EA41" s="189"/>
      <c r="EB41" s="189"/>
      <c r="EC41" s="189"/>
      <c r="ED41" s="189"/>
      <c r="EE41" s="189"/>
      <c r="EF41" s="189"/>
      <c r="EG41" s="189"/>
      <c r="EH41" s="189"/>
      <c r="EI41" s="189"/>
      <c r="EJ41" s="189"/>
      <c r="EK41" s="189"/>
      <c r="EL41" s="189"/>
      <c r="EM41" s="189"/>
      <c r="EN41" s="189"/>
      <c r="EO41" s="189"/>
      <c r="EP41" s="189"/>
      <c r="EQ41" s="189"/>
      <c r="ER41" s="189"/>
      <c r="ES41" s="189"/>
      <c r="ET41" s="189"/>
      <c r="EU41" s="189"/>
      <c r="EV41" s="189"/>
      <c r="EW41" s="189"/>
      <c r="EX41" s="189"/>
      <c r="EY41" s="189"/>
      <c r="EZ41" s="189"/>
      <c r="FA41" s="189"/>
      <c r="FB41" s="189"/>
      <c r="FC41" s="189"/>
      <c r="FD41" s="189"/>
      <c r="FE41" s="189"/>
      <c r="FF41" s="189"/>
      <c r="FG41" s="189"/>
      <c r="FH41" s="189"/>
      <c r="FI41" s="189"/>
      <c r="FJ41" s="189"/>
      <c r="FK41" s="189"/>
      <c r="FL41" s="189"/>
      <c r="FM41" s="189"/>
      <c r="FN41" s="189"/>
      <c r="FO41" s="189"/>
      <c r="FP41" s="189"/>
      <c r="FQ41" s="189"/>
      <c r="FR41" s="189"/>
      <c r="FS41" s="189"/>
      <c r="FT41" s="189"/>
      <c r="FU41" s="189"/>
      <c r="FV41" s="189"/>
      <c r="FW41" s="189"/>
      <c r="FX41" s="189"/>
      <c r="FY41" s="189"/>
      <c r="FZ41" s="189"/>
      <c r="GA41" s="189"/>
      <c r="GB41" s="189"/>
      <c r="GC41" s="189"/>
      <c r="GD41" s="189"/>
      <c r="GE41" s="189"/>
      <c r="GF41" s="189"/>
      <c r="GG41" s="189"/>
      <c r="GH41" s="189"/>
      <c r="GI41" s="189"/>
      <c r="GJ41" s="189"/>
      <c r="GK41" s="189"/>
      <c r="GL41" s="189"/>
      <c r="GM41" s="189"/>
      <c r="GN41" s="189"/>
      <c r="GO41" s="189"/>
      <c r="GP41" s="189"/>
      <c r="GQ41" s="189"/>
      <c r="GR41" s="189"/>
      <c r="GS41" s="189"/>
      <c r="GT41" s="189"/>
      <c r="GU41" s="189"/>
      <c r="GV41" s="189"/>
      <c r="GW41" s="189"/>
      <c r="GX41" s="189"/>
      <c r="GY41" s="189"/>
      <c r="GZ41" s="189"/>
      <c r="HA41" s="189"/>
      <c r="HB41" s="189"/>
      <c r="HC41" s="189"/>
      <c r="HD41" s="189"/>
      <c r="HE41" s="189"/>
      <c r="HF41" s="189"/>
      <c r="HG41" s="189"/>
      <c r="HH41" s="189"/>
      <c r="HI41" s="189"/>
      <c r="HJ41" s="189"/>
      <c r="HK41" s="189"/>
      <c r="HL41" s="189"/>
      <c r="HM41" s="189"/>
      <c r="HN41" s="189"/>
      <c r="HO41" s="189"/>
      <c r="HP41" s="189"/>
      <c r="HQ41" s="189"/>
      <c r="HR41" s="189"/>
      <c r="HS41" s="189"/>
      <c r="HT41" s="189"/>
      <c r="HU41" s="189"/>
      <c r="HV41" s="189"/>
      <c r="HW41" s="189"/>
      <c r="HX41" s="189"/>
      <c r="HY41" s="189"/>
      <c r="HZ41" s="189"/>
      <c r="IA41" s="189"/>
      <c r="IB41" s="189"/>
      <c r="IC41" s="189"/>
      <c r="ID41" s="189"/>
      <c r="IE41" s="189"/>
      <c r="IF41" s="189"/>
      <c r="IG41" s="189"/>
      <c r="IH41" s="189"/>
      <c r="II41" s="189"/>
      <c r="IJ41" s="189"/>
      <c r="IK41" s="189"/>
      <c r="IL41" s="189"/>
      <c r="IM41" s="189"/>
      <c r="IN41" s="189"/>
      <c r="IO41" s="189"/>
      <c r="IP41" s="189"/>
      <c r="IQ41" s="189"/>
      <c r="IR41" s="189"/>
      <c r="IS41" s="189"/>
      <c r="IT41" s="189"/>
      <c r="IU41" s="189"/>
    </row>
    <row r="42" spans="1:255" s="40" customFormat="1" ht="36" x14ac:dyDescent="0.2">
      <c r="A42" s="199">
        <v>21</v>
      </c>
      <c r="B42" s="200" t="s">
        <v>378</v>
      </c>
      <c r="C42" s="200" t="s">
        <v>380</v>
      </c>
      <c r="D42" s="200" t="s">
        <v>129</v>
      </c>
      <c r="E42" s="201">
        <f t="shared" si="0"/>
        <v>4.7219999999999998E-2</v>
      </c>
      <c r="F42" s="202"/>
      <c r="G42" s="202"/>
      <c r="H42" s="203"/>
      <c r="I42" s="203"/>
      <c r="N42" s="189"/>
      <c r="O42" s="189">
        <f t="shared" si="1"/>
        <v>4.7219999999999998E-2</v>
      </c>
      <c r="P42" s="189">
        <f>SmtRes!CX33</f>
        <v>3.5099999999999999E-2</v>
      </c>
      <c r="Q42" s="189">
        <f>SmtRes!CX57</f>
        <v>5.1000000000000004E-3</v>
      </c>
      <c r="R42" s="189">
        <f>SmtRes!CX80</f>
        <v>7.0200000000000002E-3</v>
      </c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  <c r="DV42" s="189"/>
      <c r="DW42" s="189"/>
      <c r="DX42" s="189"/>
      <c r="DY42" s="189"/>
      <c r="DZ42" s="189"/>
      <c r="EA42" s="189"/>
      <c r="EB42" s="189"/>
      <c r="EC42" s="189"/>
      <c r="ED42" s="189"/>
      <c r="EE42" s="189"/>
      <c r="EF42" s="189"/>
      <c r="EG42" s="189"/>
      <c r="EH42" s="189"/>
      <c r="EI42" s="189"/>
      <c r="EJ42" s="189"/>
      <c r="EK42" s="189"/>
      <c r="EL42" s="189"/>
      <c r="EM42" s="189"/>
      <c r="EN42" s="189"/>
      <c r="EO42" s="189"/>
      <c r="EP42" s="189"/>
      <c r="EQ42" s="189"/>
      <c r="ER42" s="189"/>
      <c r="ES42" s="189"/>
      <c r="ET42" s="189"/>
      <c r="EU42" s="189"/>
      <c r="EV42" s="189"/>
      <c r="EW42" s="189"/>
      <c r="EX42" s="189"/>
      <c r="EY42" s="189"/>
      <c r="EZ42" s="189"/>
      <c r="FA42" s="189"/>
      <c r="FB42" s="189"/>
      <c r="FC42" s="189"/>
      <c r="FD42" s="189"/>
      <c r="FE42" s="189"/>
      <c r="FF42" s="189"/>
      <c r="FG42" s="189"/>
      <c r="FH42" s="189"/>
      <c r="FI42" s="189"/>
      <c r="FJ42" s="189"/>
      <c r="FK42" s="189"/>
      <c r="FL42" s="189"/>
      <c r="FM42" s="189"/>
      <c r="FN42" s="189"/>
      <c r="FO42" s="189"/>
      <c r="FP42" s="189"/>
      <c r="FQ42" s="189"/>
      <c r="FR42" s="189"/>
      <c r="FS42" s="189"/>
      <c r="FT42" s="189"/>
      <c r="FU42" s="189"/>
      <c r="FV42" s="189"/>
      <c r="FW42" s="189"/>
      <c r="FX42" s="189"/>
      <c r="FY42" s="189"/>
      <c r="FZ42" s="189"/>
      <c r="GA42" s="189"/>
      <c r="GB42" s="189"/>
      <c r="GC42" s="189"/>
      <c r="GD42" s="189"/>
      <c r="GE42" s="189"/>
      <c r="GF42" s="189"/>
      <c r="GG42" s="189"/>
      <c r="GH42" s="189"/>
      <c r="GI42" s="189"/>
      <c r="GJ42" s="189"/>
      <c r="GK42" s="189"/>
      <c r="GL42" s="189"/>
      <c r="GM42" s="189"/>
      <c r="GN42" s="189"/>
      <c r="GO42" s="189"/>
      <c r="GP42" s="189"/>
      <c r="GQ42" s="189"/>
      <c r="GR42" s="189"/>
      <c r="GS42" s="189"/>
      <c r="GT42" s="189"/>
      <c r="GU42" s="189"/>
      <c r="GV42" s="189"/>
      <c r="GW42" s="189"/>
      <c r="GX42" s="189"/>
      <c r="GY42" s="189"/>
      <c r="GZ42" s="189"/>
      <c r="HA42" s="189"/>
      <c r="HB42" s="189"/>
      <c r="HC42" s="189"/>
      <c r="HD42" s="189"/>
      <c r="HE42" s="189"/>
      <c r="HF42" s="189"/>
      <c r="HG42" s="189"/>
      <c r="HH42" s="189"/>
      <c r="HI42" s="189"/>
      <c r="HJ42" s="189"/>
      <c r="HK42" s="189"/>
      <c r="HL42" s="189"/>
      <c r="HM42" s="189"/>
      <c r="HN42" s="189"/>
      <c r="HO42" s="189"/>
      <c r="HP42" s="189"/>
      <c r="HQ42" s="189"/>
      <c r="HR42" s="189"/>
      <c r="HS42" s="189"/>
      <c r="HT42" s="189"/>
      <c r="HU42" s="189"/>
      <c r="HV42" s="189"/>
      <c r="HW42" s="189"/>
      <c r="HX42" s="189"/>
      <c r="HY42" s="189"/>
      <c r="HZ42" s="189"/>
      <c r="IA42" s="189"/>
      <c r="IB42" s="189"/>
      <c r="IC42" s="189"/>
      <c r="ID42" s="189"/>
      <c r="IE42" s="189"/>
      <c r="IF42" s="189"/>
      <c r="IG42" s="189"/>
      <c r="IH42" s="189"/>
      <c r="II42" s="189"/>
      <c r="IJ42" s="189"/>
      <c r="IK42" s="189"/>
      <c r="IL42" s="189"/>
      <c r="IM42" s="189"/>
      <c r="IN42" s="189"/>
      <c r="IO42" s="189"/>
      <c r="IP42" s="189"/>
      <c r="IQ42" s="189"/>
      <c r="IR42" s="189"/>
      <c r="IS42" s="189"/>
      <c r="IT42" s="189"/>
      <c r="IU42" s="189"/>
    </row>
    <row r="43" spans="1:255" s="40" customFormat="1" ht="24" x14ac:dyDescent="0.2">
      <c r="A43" s="199">
        <v>22</v>
      </c>
      <c r="B43" s="200" t="s">
        <v>450</v>
      </c>
      <c r="C43" s="200" t="s">
        <v>452</v>
      </c>
      <c r="D43" s="200" t="s">
        <v>99</v>
      </c>
      <c r="E43" s="201">
        <f t="shared" si="0"/>
        <v>2</v>
      </c>
      <c r="F43" s="202"/>
      <c r="G43" s="202"/>
      <c r="H43" s="203"/>
      <c r="I43" s="203"/>
      <c r="N43" s="189"/>
      <c r="O43" s="189">
        <f t="shared" si="1"/>
        <v>2</v>
      </c>
      <c r="P43" s="189">
        <f>SmtRes!CX110</f>
        <v>2</v>
      </c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89"/>
      <c r="BN43" s="189"/>
      <c r="BO43" s="189"/>
      <c r="BP43" s="189"/>
      <c r="BQ43" s="189"/>
      <c r="BR43" s="189"/>
      <c r="BS43" s="189"/>
      <c r="BT43" s="189"/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189"/>
      <c r="CP43" s="189"/>
      <c r="CQ43" s="189"/>
      <c r="CR43" s="189"/>
      <c r="CS43" s="189"/>
      <c r="CT43" s="189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89"/>
      <c r="DT43" s="189"/>
      <c r="DU43" s="189"/>
      <c r="DV43" s="189"/>
      <c r="DW43" s="189"/>
      <c r="DX43" s="189"/>
      <c r="DY43" s="189"/>
      <c r="DZ43" s="189"/>
      <c r="EA43" s="189"/>
      <c r="EB43" s="189"/>
      <c r="EC43" s="189"/>
      <c r="ED43" s="189"/>
      <c r="EE43" s="189"/>
      <c r="EF43" s="189"/>
      <c r="EG43" s="189"/>
      <c r="EH43" s="189"/>
      <c r="EI43" s="189"/>
      <c r="EJ43" s="189"/>
      <c r="EK43" s="189"/>
      <c r="EL43" s="189"/>
      <c r="EM43" s="189"/>
      <c r="EN43" s="189"/>
      <c r="EO43" s="189"/>
      <c r="EP43" s="189"/>
      <c r="EQ43" s="189"/>
      <c r="ER43" s="189"/>
      <c r="ES43" s="189"/>
      <c r="ET43" s="189"/>
      <c r="EU43" s="189"/>
      <c r="EV43" s="189"/>
      <c r="EW43" s="189"/>
      <c r="EX43" s="189"/>
      <c r="EY43" s="189"/>
      <c r="EZ43" s="189"/>
      <c r="FA43" s="189"/>
      <c r="FB43" s="189"/>
      <c r="FC43" s="189"/>
      <c r="FD43" s="189"/>
      <c r="FE43" s="189"/>
      <c r="FF43" s="189"/>
      <c r="FG43" s="189"/>
      <c r="FH43" s="189"/>
      <c r="FI43" s="189"/>
      <c r="FJ43" s="189"/>
      <c r="FK43" s="189"/>
      <c r="FL43" s="189"/>
      <c r="FM43" s="189"/>
      <c r="FN43" s="189"/>
      <c r="FO43" s="189"/>
      <c r="FP43" s="189"/>
      <c r="FQ43" s="189"/>
      <c r="FR43" s="189"/>
      <c r="FS43" s="189"/>
      <c r="FT43" s="189"/>
      <c r="FU43" s="189"/>
      <c r="FV43" s="189"/>
      <c r="FW43" s="189"/>
      <c r="FX43" s="189"/>
      <c r="FY43" s="189"/>
      <c r="FZ43" s="189"/>
      <c r="GA43" s="189"/>
      <c r="GB43" s="189"/>
      <c r="GC43" s="189"/>
      <c r="GD43" s="189"/>
      <c r="GE43" s="189"/>
      <c r="GF43" s="189"/>
      <c r="GG43" s="189"/>
      <c r="GH43" s="189"/>
      <c r="GI43" s="189"/>
      <c r="GJ43" s="189"/>
      <c r="GK43" s="189"/>
      <c r="GL43" s="189"/>
      <c r="GM43" s="189"/>
      <c r="GN43" s="189"/>
      <c r="GO43" s="189"/>
      <c r="GP43" s="189"/>
      <c r="GQ43" s="189"/>
      <c r="GR43" s="189"/>
      <c r="GS43" s="189"/>
      <c r="GT43" s="189"/>
      <c r="GU43" s="189"/>
      <c r="GV43" s="189"/>
      <c r="GW43" s="189"/>
      <c r="GX43" s="189"/>
      <c r="GY43" s="189"/>
      <c r="GZ43" s="189"/>
      <c r="HA43" s="189"/>
      <c r="HB43" s="189"/>
      <c r="HC43" s="189"/>
      <c r="HD43" s="189"/>
      <c r="HE43" s="189"/>
      <c r="HF43" s="189"/>
      <c r="HG43" s="189"/>
      <c r="HH43" s="189"/>
      <c r="HI43" s="189"/>
      <c r="HJ43" s="189"/>
      <c r="HK43" s="189"/>
      <c r="HL43" s="189"/>
      <c r="HM43" s="189"/>
      <c r="HN43" s="189"/>
      <c r="HO43" s="189"/>
      <c r="HP43" s="189"/>
      <c r="HQ43" s="189"/>
      <c r="HR43" s="189"/>
      <c r="HS43" s="189"/>
      <c r="HT43" s="189"/>
      <c r="HU43" s="189"/>
      <c r="HV43" s="189"/>
      <c r="HW43" s="189"/>
      <c r="HX43" s="189"/>
      <c r="HY43" s="189"/>
      <c r="HZ43" s="189"/>
      <c r="IA43" s="189"/>
      <c r="IB43" s="189"/>
      <c r="IC43" s="189"/>
      <c r="ID43" s="189"/>
      <c r="IE43" s="189"/>
      <c r="IF43" s="189"/>
      <c r="IG43" s="189"/>
      <c r="IH43" s="189"/>
      <c r="II43" s="189"/>
      <c r="IJ43" s="189"/>
      <c r="IK43" s="189"/>
      <c r="IL43" s="189"/>
      <c r="IM43" s="189"/>
      <c r="IN43" s="189"/>
      <c r="IO43" s="189"/>
      <c r="IP43" s="189"/>
      <c r="IQ43" s="189"/>
      <c r="IR43" s="189"/>
      <c r="IS43" s="189"/>
      <c r="IT43" s="189"/>
      <c r="IU43" s="189"/>
    </row>
    <row r="44" spans="1:255" s="40" customFormat="1" ht="24" x14ac:dyDescent="0.2">
      <c r="A44" s="199">
        <v>23</v>
      </c>
      <c r="B44" s="200" t="s">
        <v>441</v>
      </c>
      <c r="C44" s="200" t="s">
        <v>443</v>
      </c>
      <c r="D44" s="200" t="s">
        <v>129</v>
      </c>
      <c r="E44" s="201">
        <f t="shared" si="0"/>
        <v>3.5000000000000001E-3</v>
      </c>
      <c r="F44" s="202"/>
      <c r="G44" s="202"/>
      <c r="H44" s="203"/>
      <c r="I44" s="203"/>
      <c r="N44" s="189"/>
      <c r="O44" s="189">
        <f t="shared" si="1"/>
        <v>3.5000000000000001E-3</v>
      </c>
      <c r="P44" s="189">
        <f>SmtRes!CX107</f>
        <v>3.5000000000000001E-3</v>
      </c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  <c r="DW44" s="189"/>
      <c r="DX44" s="189"/>
      <c r="DY44" s="189"/>
      <c r="DZ44" s="189"/>
      <c r="EA44" s="189"/>
      <c r="EB44" s="189"/>
      <c r="EC44" s="189"/>
      <c r="ED44" s="189"/>
      <c r="EE44" s="189"/>
      <c r="EF44" s="189"/>
      <c r="EG44" s="189"/>
      <c r="EH44" s="189"/>
      <c r="EI44" s="189"/>
      <c r="EJ44" s="189"/>
      <c r="EK44" s="189"/>
      <c r="EL44" s="189"/>
      <c r="EM44" s="189"/>
      <c r="EN44" s="189"/>
      <c r="EO44" s="189"/>
      <c r="EP44" s="189"/>
      <c r="EQ44" s="189"/>
      <c r="ER44" s="189"/>
      <c r="ES44" s="189"/>
      <c r="ET44" s="189"/>
      <c r="EU44" s="189"/>
      <c r="EV44" s="189"/>
      <c r="EW44" s="189"/>
      <c r="EX44" s="189"/>
      <c r="EY44" s="189"/>
      <c r="EZ44" s="189"/>
      <c r="FA44" s="189"/>
      <c r="FB44" s="189"/>
      <c r="FC44" s="189"/>
      <c r="FD44" s="189"/>
      <c r="FE44" s="189"/>
      <c r="FF44" s="189"/>
      <c r="FG44" s="189"/>
      <c r="FH44" s="189"/>
      <c r="FI44" s="189"/>
      <c r="FJ44" s="189"/>
      <c r="FK44" s="189"/>
      <c r="FL44" s="189"/>
      <c r="FM44" s="189"/>
      <c r="FN44" s="189"/>
      <c r="FO44" s="189"/>
      <c r="FP44" s="189"/>
      <c r="FQ44" s="189"/>
      <c r="FR44" s="189"/>
      <c r="FS44" s="189"/>
      <c r="FT44" s="189"/>
      <c r="FU44" s="189"/>
      <c r="FV44" s="189"/>
      <c r="FW44" s="189"/>
      <c r="FX44" s="189"/>
      <c r="FY44" s="189"/>
      <c r="FZ44" s="189"/>
      <c r="GA44" s="189"/>
      <c r="GB44" s="189"/>
      <c r="GC44" s="189"/>
      <c r="GD44" s="189"/>
      <c r="GE44" s="189"/>
      <c r="GF44" s="189"/>
      <c r="GG44" s="189"/>
      <c r="GH44" s="189"/>
      <c r="GI44" s="189"/>
      <c r="GJ44" s="189"/>
      <c r="GK44" s="189"/>
      <c r="GL44" s="189"/>
      <c r="GM44" s="189"/>
      <c r="GN44" s="189"/>
      <c r="GO44" s="189"/>
      <c r="GP44" s="189"/>
      <c r="GQ44" s="189"/>
      <c r="GR44" s="189"/>
      <c r="GS44" s="189"/>
      <c r="GT44" s="189"/>
      <c r="GU44" s="189"/>
      <c r="GV44" s="189"/>
      <c r="GW44" s="189"/>
      <c r="GX44" s="189"/>
      <c r="GY44" s="189"/>
      <c r="GZ44" s="189"/>
      <c r="HA44" s="189"/>
      <c r="HB44" s="189"/>
      <c r="HC44" s="189"/>
      <c r="HD44" s="189"/>
      <c r="HE44" s="189"/>
      <c r="HF44" s="189"/>
      <c r="HG44" s="189"/>
      <c r="HH44" s="189"/>
      <c r="HI44" s="189"/>
      <c r="HJ44" s="189"/>
      <c r="HK44" s="189"/>
      <c r="HL44" s="189"/>
      <c r="HM44" s="189"/>
      <c r="HN44" s="189"/>
      <c r="HO44" s="189"/>
      <c r="HP44" s="189"/>
      <c r="HQ44" s="189"/>
      <c r="HR44" s="189"/>
      <c r="HS44" s="189"/>
      <c r="HT44" s="189"/>
      <c r="HU44" s="189"/>
      <c r="HV44" s="189"/>
      <c r="HW44" s="189"/>
      <c r="HX44" s="189"/>
      <c r="HY44" s="189"/>
      <c r="HZ44" s="189"/>
      <c r="IA44" s="189"/>
      <c r="IB44" s="189"/>
      <c r="IC44" s="189"/>
      <c r="ID44" s="189"/>
      <c r="IE44" s="189"/>
      <c r="IF44" s="189"/>
      <c r="IG44" s="189"/>
      <c r="IH44" s="189"/>
      <c r="II44" s="189"/>
      <c r="IJ44" s="189"/>
      <c r="IK44" s="189"/>
      <c r="IL44" s="189"/>
      <c r="IM44" s="189"/>
      <c r="IN44" s="189"/>
      <c r="IO44" s="189"/>
      <c r="IP44" s="189"/>
      <c r="IQ44" s="189"/>
      <c r="IR44" s="189"/>
      <c r="IS44" s="189"/>
      <c r="IT44" s="189"/>
      <c r="IU44" s="189"/>
    </row>
    <row r="45" spans="1:255" x14ac:dyDescent="0.2">
      <c r="A45" s="192"/>
      <c r="B45" s="192"/>
      <c r="C45" s="193" t="s">
        <v>640</v>
      </c>
      <c r="D45" s="192"/>
      <c r="E45" s="192"/>
      <c r="F45" s="192"/>
      <c r="G45" s="194"/>
      <c r="H45" s="192"/>
      <c r="I45" s="192"/>
      <c r="J45" s="21"/>
      <c r="K45" s="21"/>
      <c r="L45" s="21"/>
      <c r="M45" s="177">
        <f>G45</f>
        <v>0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</row>
    <row r="46" spans="1:255" x14ac:dyDescent="0.2">
      <c r="A46" s="198"/>
      <c r="B46" s="198" t="s">
        <v>692</v>
      </c>
      <c r="C46" s="198"/>
      <c r="D46" s="198"/>
      <c r="E46" s="198"/>
      <c r="F46" s="198"/>
      <c r="G46" s="192"/>
      <c r="H46" s="192"/>
      <c r="I46" s="192"/>
    </row>
    <row r="47" spans="1:255" s="40" customFormat="1" ht="24" x14ac:dyDescent="0.2">
      <c r="A47" s="199">
        <v>24</v>
      </c>
      <c r="B47" s="200" t="s">
        <v>155</v>
      </c>
      <c r="C47" s="200" t="s">
        <v>156</v>
      </c>
      <c r="D47" s="200" t="s">
        <v>33</v>
      </c>
      <c r="E47" s="201">
        <f t="shared" ref="E47:E65" si="2">O47</f>
        <v>0.154</v>
      </c>
      <c r="F47" s="202"/>
      <c r="G47" s="202"/>
      <c r="H47" s="203"/>
      <c r="I47" s="203"/>
      <c r="N47" s="189"/>
      <c r="O47" s="189">
        <f t="shared" ref="O47:O65" si="3">SUM(P47:IV47)</f>
        <v>0.154</v>
      </c>
      <c r="P47" s="189">
        <f>Source!I52</f>
        <v>0.154</v>
      </c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89"/>
      <c r="DB47" s="189"/>
      <c r="DC47" s="189"/>
      <c r="DD47" s="189"/>
      <c r="DE47" s="189"/>
      <c r="DF47" s="189"/>
      <c r="DG47" s="189"/>
      <c r="DH47" s="189"/>
      <c r="DI47" s="189"/>
      <c r="DJ47" s="189"/>
      <c r="DK47" s="189"/>
      <c r="DL47" s="189"/>
      <c r="DM47" s="189"/>
      <c r="DN47" s="189"/>
      <c r="DO47" s="189"/>
      <c r="DP47" s="189"/>
      <c r="DQ47" s="189"/>
      <c r="DR47" s="189"/>
      <c r="DS47" s="189"/>
      <c r="DT47" s="189"/>
      <c r="DU47" s="189"/>
      <c r="DV47" s="189"/>
      <c r="DW47" s="189"/>
      <c r="DX47" s="189"/>
      <c r="DY47" s="189"/>
      <c r="DZ47" s="189"/>
      <c r="EA47" s="189"/>
      <c r="EB47" s="189"/>
      <c r="EC47" s="189"/>
      <c r="ED47" s="189"/>
      <c r="EE47" s="189"/>
      <c r="EF47" s="189"/>
      <c r="EG47" s="189"/>
      <c r="EH47" s="189"/>
      <c r="EI47" s="189"/>
      <c r="EJ47" s="189"/>
      <c r="EK47" s="189"/>
      <c r="EL47" s="189"/>
      <c r="EM47" s="189"/>
      <c r="EN47" s="189"/>
      <c r="EO47" s="189"/>
      <c r="EP47" s="189"/>
      <c r="EQ47" s="189"/>
      <c r="ER47" s="189"/>
      <c r="ES47" s="189"/>
      <c r="ET47" s="189"/>
      <c r="EU47" s="189"/>
      <c r="EV47" s="189"/>
      <c r="EW47" s="189"/>
      <c r="EX47" s="189"/>
      <c r="EY47" s="189"/>
      <c r="EZ47" s="189"/>
      <c r="FA47" s="189"/>
      <c r="FB47" s="189"/>
      <c r="FC47" s="189"/>
      <c r="FD47" s="189"/>
      <c r="FE47" s="189"/>
      <c r="FF47" s="189"/>
      <c r="FG47" s="189"/>
      <c r="FH47" s="189"/>
      <c r="FI47" s="189"/>
      <c r="FJ47" s="189"/>
      <c r="FK47" s="189"/>
      <c r="FL47" s="189"/>
      <c r="FM47" s="189"/>
      <c r="FN47" s="189"/>
      <c r="FO47" s="189"/>
      <c r="FP47" s="189"/>
      <c r="FQ47" s="189"/>
      <c r="FR47" s="189"/>
      <c r="FS47" s="189"/>
      <c r="FT47" s="189"/>
      <c r="FU47" s="189"/>
      <c r="FV47" s="189"/>
      <c r="FW47" s="189"/>
      <c r="FX47" s="189"/>
      <c r="FY47" s="189"/>
      <c r="FZ47" s="189"/>
      <c r="GA47" s="189"/>
      <c r="GB47" s="189"/>
      <c r="GC47" s="189"/>
      <c r="GD47" s="189"/>
      <c r="GE47" s="189"/>
      <c r="GF47" s="189"/>
      <c r="GG47" s="189"/>
      <c r="GH47" s="189"/>
      <c r="GI47" s="189"/>
      <c r="GJ47" s="189"/>
      <c r="GK47" s="189"/>
      <c r="GL47" s="189"/>
      <c r="GM47" s="189"/>
      <c r="GN47" s="189"/>
      <c r="GO47" s="189"/>
      <c r="GP47" s="189"/>
      <c r="GQ47" s="189"/>
      <c r="GR47" s="189"/>
      <c r="GS47" s="189"/>
      <c r="GT47" s="189"/>
      <c r="GU47" s="189"/>
      <c r="GV47" s="189"/>
      <c r="GW47" s="189"/>
      <c r="GX47" s="189"/>
      <c r="GY47" s="189"/>
      <c r="GZ47" s="189"/>
      <c r="HA47" s="189"/>
      <c r="HB47" s="189"/>
      <c r="HC47" s="189"/>
      <c r="HD47" s="189"/>
      <c r="HE47" s="189"/>
      <c r="HF47" s="189"/>
      <c r="HG47" s="189"/>
      <c r="HH47" s="189"/>
      <c r="HI47" s="189"/>
      <c r="HJ47" s="189"/>
      <c r="HK47" s="189"/>
      <c r="HL47" s="189"/>
      <c r="HM47" s="189"/>
      <c r="HN47" s="189"/>
      <c r="HO47" s="189"/>
      <c r="HP47" s="189"/>
      <c r="HQ47" s="189"/>
      <c r="HR47" s="189"/>
      <c r="HS47" s="189"/>
      <c r="HT47" s="189"/>
      <c r="HU47" s="189"/>
      <c r="HV47" s="189"/>
      <c r="HW47" s="189"/>
      <c r="HX47" s="189"/>
      <c r="HY47" s="189"/>
      <c r="HZ47" s="189"/>
      <c r="IA47" s="189"/>
      <c r="IB47" s="189"/>
      <c r="IC47" s="189"/>
      <c r="ID47" s="189"/>
      <c r="IE47" s="189"/>
      <c r="IF47" s="189"/>
      <c r="IG47" s="189"/>
      <c r="IH47" s="189"/>
      <c r="II47" s="189"/>
      <c r="IJ47" s="189"/>
      <c r="IK47" s="189"/>
      <c r="IL47" s="189"/>
      <c r="IM47" s="189"/>
      <c r="IN47" s="189"/>
      <c r="IO47" s="189"/>
      <c r="IP47" s="189"/>
      <c r="IQ47" s="189"/>
      <c r="IR47" s="189"/>
      <c r="IS47" s="189"/>
      <c r="IT47" s="189"/>
      <c r="IU47" s="189"/>
    </row>
    <row r="48" spans="1:255" s="40" customFormat="1" ht="36" x14ac:dyDescent="0.2">
      <c r="A48" s="199">
        <v>25</v>
      </c>
      <c r="B48" s="200" t="s">
        <v>123</v>
      </c>
      <c r="C48" s="200" t="s">
        <v>124</v>
      </c>
      <c r="D48" s="200" t="s">
        <v>99</v>
      </c>
      <c r="E48" s="201">
        <f t="shared" si="2"/>
        <v>15</v>
      </c>
      <c r="F48" s="202"/>
      <c r="G48" s="202"/>
      <c r="H48" s="203"/>
      <c r="I48" s="203"/>
      <c r="N48" s="189"/>
      <c r="O48" s="189">
        <f t="shared" si="3"/>
        <v>15</v>
      </c>
      <c r="P48" s="189">
        <f>Source!I44</f>
        <v>15</v>
      </c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  <c r="DV48" s="189"/>
      <c r="DW48" s="189"/>
      <c r="DX48" s="189"/>
      <c r="DY48" s="189"/>
      <c r="DZ48" s="189"/>
      <c r="EA48" s="189"/>
      <c r="EB48" s="189"/>
      <c r="EC48" s="189"/>
      <c r="ED48" s="189"/>
      <c r="EE48" s="189"/>
      <c r="EF48" s="189"/>
      <c r="EG48" s="189"/>
      <c r="EH48" s="189"/>
      <c r="EI48" s="189"/>
      <c r="EJ48" s="189"/>
      <c r="EK48" s="189"/>
      <c r="EL48" s="189"/>
      <c r="EM48" s="189"/>
      <c r="EN48" s="189"/>
      <c r="EO48" s="189"/>
      <c r="EP48" s="189"/>
      <c r="EQ48" s="189"/>
      <c r="ER48" s="189"/>
      <c r="ES48" s="189"/>
      <c r="ET48" s="189"/>
      <c r="EU48" s="189"/>
      <c r="EV48" s="189"/>
      <c r="EW48" s="189"/>
      <c r="EX48" s="189"/>
      <c r="EY48" s="189"/>
      <c r="EZ48" s="189"/>
      <c r="FA48" s="189"/>
      <c r="FB48" s="189"/>
      <c r="FC48" s="189"/>
      <c r="FD48" s="189"/>
      <c r="FE48" s="189"/>
      <c r="FF48" s="189"/>
      <c r="FG48" s="189"/>
      <c r="FH48" s="189"/>
      <c r="FI48" s="189"/>
      <c r="FJ48" s="189"/>
      <c r="FK48" s="189"/>
      <c r="FL48" s="189"/>
      <c r="FM48" s="189"/>
      <c r="FN48" s="189"/>
      <c r="FO48" s="189"/>
      <c r="FP48" s="189"/>
      <c r="FQ48" s="189"/>
      <c r="FR48" s="189"/>
      <c r="FS48" s="189"/>
      <c r="FT48" s="189"/>
      <c r="FU48" s="189"/>
      <c r="FV48" s="189"/>
      <c r="FW48" s="189"/>
      <c r="FX48" s="189"/>
      <c r="FY48" s="189"/>
      <c r="FZ48" s="189"/>
      <c r="GA48" s="189"/>
      <c r="GB48" s="189"/>
      <c r="GC48" s="189"/>
      <c r="GD48" s="189"/>
      <c r="GE48" s="189"/>
      <c r="GF48" s="189"/>
      <c r="GG48" s="189"/>
      <c r="GH48" s="189"/>
      <c r="GI48" s="189"/>
      <c r="GJ48" s="189"/>
      <c r="GK48" s="189"/>
      <c r="GL48" s="189"/>
      <c r="GM48" s="189"/>
      <c r="GN48" s="189"/>
      <c r="GO48" s="189"/>
      <c r="GP48" s="189"/>
      <c r="GQ48" s="189"/>
      <c r="GR48" s="189"/>
      <c r="GS48" s="189"/>
      <c r="GT48" s="189"/>
      <c r="GU48" s="189"/>
      <c r="GV48" s="189"/>
      <c r="GW48" s="189"/>
      <c r="GX48" s="189"/>
      <c r="GY48" s="189"/>
      <c r="GZ48" s="189"/>
      <c r="HA48" s="189"/>
      <c r="HB48" s="189"/>
      <c r="HC48" s="189"/>
      <c r="HD48" s="189"/>
      <c r="HE48" s="189"/>
      <c r="HF48" s="189"/>
      <c r="HG48" s="189"/>
      <c r="HH48" s="189"/>
      <c r="HI48" s="189"/>
      <c r="HJ48" s="189"/>
      <c r="HK48" s="189"/>
      <c r="HL48" s="189"/>
      <c r="HM48" s="189"/>
      <c r="HN48" s="189"/>
      <c r="HO48" s="189"/>
      <c r="HP48" s="189"/>
      <c r="HQ48" s="189"/>
      <c r="HR48" s="189"/>
      <c r="HS48" s="189"/>
      <c r="HT48" s="189"/>
      <c r="HU48" s="189"/>
      <c r="HV48" s="189"/>
      <c r="HW48" s="189"/>
      <c r="HX48" s="189"/>
      <c r="HY48" s="189"/>
      <c r="HZ48" s="189"/>
      <c r="IA48" s="189"/>
      <c r="IB48" s="189"/>
      <c r="IC48" s="189"/>
      <c r="ID48" s="189"/>
      <c r="IE48" s="189"/>
      <c r="IF48" s="189"/>
      <c r="IG48" s="189"/>
      <c r="IH48" s="189"/>
      <c r="II48" s="189"/>
      <c r="IJ48" s="189"/>
      <c r="IK48" s="189"/>
      <c r="IL48" s="189"/>
      <c r="IM48" s="189"/>
      <c r="IN48" s="189"/>
      <c r="IO48" s="189"/>
      <c r="IP48" s="189"/>
      <c r="IQ48" s="189"/>
      <c r="IR48" s="189"/>
      <c r="IS48" s="189"/>
      <c r="IT48" s="189"/>
      <c r="IU48" s="189"/>
    </row>
    <row r="49" spans="1:255" s="40" customFormat="1" ht="36" x14ac:dyDescent="0.2">
      <c r="A49" s="199">
        <v>26</v>
      </c>
      <c r="B49" s="200" t="s">
        <v>111</v>
      </c>
      <c r="C49" s="200" t="s">
        <v>112</v>
      </c>
      <c r="D49" s="200" t="s">
        <v>99</v>
      </c>
      <c r="E49" s="201">
        <f t="shared" si="2"/>
        <v>15</v>
      </c>
      <c r="F49" s="202"/>
      <c r="G49" s="202"/>
      <c r="H49" s="203"/>
      <c r="I49" s="203"/>
      <c r="N49" s="189"/>
      <c r="O49" s="189">
        <f t="shared" si="3"/>
        <v>15</v>
      </c>
      <c r="P49" s="189">
        <f>Source!I41</f>
        <v>15</v>
      </c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  <c r="DV49" s="189"/>
      <c r="DW49" s="189"/>
      <c r="DX49" s="189"/>
      <c r="DY49" s="189"/>
      <c r="DZ49" s="189"/>
      <c r="EA49" s="189"/>
      <c r="EB49" s="189"/>
      <c r="EC49" s="189"/>
      <c r="ED49" s="189"/>
      <c r="EE49" s="189"/>
      <c r="EF49" s="189"/>
      <c r="EG49" s="189"/>
      <c r="EH49" s="189"/>
      <c r="EI49" s="189"/>
      <c r="EJ49" s="189"/>
      <c r="EK49" s="189"/>
      <c r="EL49" s="189"/>
      <c r="EM49" s="189"/>
      <c r="EN49" s="189"/>
      <c r="EO49" s="189"/>
      <c r="EP49" s="189"/>
      <c r="EQ49" s="189"/>
      <c r="ER49" s="189"/>
      <c r="ES49" s="189"/>
      <c r="ET49" s="189"/>
      <c r="EU49" s="189"/>
      <c r="EV49" s="189"/>
      <c r="EW49" s="189"/>
      <c r="EX49" s="189"/>
      <c r="EY49" s="189"/>
      <c r="EZ49" s="189"/>
      <c r="FA49" s="189"/>
      <c r="FB49" s="189"/>
      <c r="FC49" s="189"/>
      <c r="FD49" s="189"/>
      <c r="FE49" s="189"/>
      <c r="FF49" s="189"/>
      <c r="FG49" s="189"/>
      <c r="FH49" s="189"/>
      <c r="FI49" s="189"/>
      <c r="FJ49" s="189"/>
      <c r="FK49" s="189"/>
      <c r="FL49" s="189"/>
      <c r="FM49" s="189"/>
      <c r="FN49" s="189"/>
      <c r="FO49" s="189"/>
      <c r="FP49" s="189"/>
      <c r="FQ49" s="189"/>
      <c r="FR49" s="189"/>
      <c r="FS49" s="189"/>
      <c r="FT49" s="189"/>
      <c r="FU49" s="189"/>
      <c r="FV49" s="189"/>
      <c r="FW49" s="189"/>
      <c r="FX49" s="189"/>
      <c r="FY49" s="189"/>
      <c r="FZ49" s="189"/>
      <c r="GA49" s="189"/>
      <c r="GB49" s="189"/>
      <c r="GC49" s="189"/>
      <c r="GD49" s="189"/>
      <c r="GE49" s="189"/>
      <c r="GF49" s="189"/>
      <c r="GG49" s="189"/>
      <c r="GH49" s="189"/>
      <c r="GI49" s="189"/>
      <c r="GJ49" s="189"/>
      <c r="GK49" s="189"/>
      <c r="GL49" s="189"/>
      <c r="GM49" s="189"/>
      <c r="GN49" s="189"/>
      <c r="GO49" s="189"/>
      <c r="GP49" s="189"/>
      <c r="GQ49" s="189"/>
      <c r="GR49" s="189"/>
      <c r="GS49" s="189"/>
      <c r="GT49" s="189"/>
      <c r="GU49" s="189"/>
      <c r="GV49" s="189"/>
      <c r="GW49" s="189"/>
      <c r="GX49" s="189"/>
      <c r="GY49" s="189"/>
      <c r="GZ49" s="189"/>
      <c r="HA49" s="189"/>
      <c r="HB49" s="189"/>
      <c r="HC49" s="189"/>
      <c r="HD49" s="189"/>
      <c r="HE49" s="189"/>
      <c r="HF49" s="189"/>
      <c r="HG49" s="189"/>
      <c r="HH49" s="189"/>
      <c r="HI49" s="189"/>
      <c r="HJ49" s="189"/>
      <c r="HK49" s="189"/>
      <c r="HL49" s="189"/>
      <c r="HM49" s="189"/>
      <c r="HN49" s="189"/>
      <c r="HO49" s="189"/>
      <c r="HP49" s="189"/>
      <c r="HQ49" s="189"/>
      <c r="HR49" s="189"/>
      <c r="HS49" s="189"/>
      <c r="HT49" s="189"/>
      <c r="HU49" s="189"/>
      <c r="HV49" s="189"/>
      <c r="HW49" s="189"/>
      <c r="HX49" s="189"/>
      <c r="HY49" s="189"/>
      <c r="HZ49" s="189"/>
      <c r="IA49" s="189"/>
      <c r="IB49" s="189"/>
      <c r="IC49" s="189"/>
      <c r="ID49" s="189"/>
      <c r="IE49" s="189"/>
      <c r="IF49" s="189"/>
      <c r="IG49" s="189"/>
      <c r="IH49" s="189"/>
      <c r="II49" s="189"/>
      <c r="IJ49" s="189"/>
      <c r="IK49" s="189"/>
      <c r="IL49" s="189"/>
      <c r="IM49" s="189"/>
      <c r="IN49" s="189"/>
      <c r="IO49" s="189"/>
      <c r="IP49" s="189"/>
      <c r="IQ49" s="189"/>
      <c r="IR49" s="189"/>
      <c r="IS49" s="189"/>
      <c r="IT49" s="189"/>
      <c r="IU49" s="189"/>
    </row>
    <row r="50" spans="1:255" s="40" customFormat="1" ht="36" x14ac:dyDescent="0.2">
      <c r="A50" s="199">
        <v>27</v>
      </c>
      <c r="B50" s="200" t="s">
        <v>107</v>
      </c>
      <c r="C50" s="200" t="s">
        <v>108</v>
      </c>
      <c r="D50" s="200" t="s">
        <v>99</v>
      </c>
      <c r="E50" s="201">
        <f t="shared" si="2"/>
        <v>15</v>
      </c>
      <c r="F50" s="202"/>
      <c r="G50" s="202"/>
      <c r="H50" s="203"/>
      <c r="I50" s="203"/>
      <c r="N50" s="189"/>
      <c r="O50" s="189">
        <f t="shared" si="3"/>
        <v>15</v>
      </c>
      <c r="P50" s="189">
        <f>Source!I40</f>
        <v>15</v>
      </c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89"/>
      <c r="EC50" s="189"/>
      <c r="ED50" s="189"/>
      <c r="EE50" s="189"/>
      <c r="EF50" s="189"/>
      <c r="EG50" s="189"/>
      <c r="EH50" s="189"/>
      <c r="EI50" s="189"/>
      <c r="EJ50" s="189"/>
      <c r="EK50" s="189"/>
      <c r="EL50" s="189"/>
      <c r="EM50" s="189"/>
      <c r="EN50" s="189"/>
      <c r="EO50" s="189"/>
      <c r="EP50" s="189"/>
      <c r="EQ50" s="189"/>
      <c r="ER50" s="189"/>
      <c r="ES50" s="189"/>
      <c r="ET50" s="189"/>
      <c r="EU50" s="189"/>
      <c r="EV50" s="189"/>
      <c r="EW50" s="189"/>
      <c r="EX50" s="189"/>
      <c r="EY50" s="189"/>
      <c r="EZ50" s="189"/>
      <c r="FA50" s="189"/>
      <c r="FB50" s="189"/>
      <c r="FC50" s="189"/>
      <c r="FD50" s="189"/>
      <c r="FE50" s="189"/>
      <c r="FF50" s="189"/>
      <c r="FG50" s="189"/>
      <c r="FH50" s="189"/>
      <c r="FI50" s="189"/>
      <c r="FJ50" s="189"/>
      <c r="FK50" s="189"/>
      <c r="FL50" s="189"/>
      <c r="FM50" s="189"/>
      <c r="FN50" s="189"/>
      <c r="FO50" s="189"/>
      <c r="FP50" s="189"/>
      <c r="FQ50" s="189"/>
      <c r="FR50" s="189"/>
      <c r="FS50" s="189"/>
      <c r="FT50" s="189"/>
      <c r="FU50" s="189"/>
      <c r="FV50" s="189"/>
      <c r="FW50" s="189"/>
      <c r="FX50" s="189"/>
      <c r="FY50" s="189"/>
      <c r="FZ50" s="189"/>
      <c r="GA50" s="189"/>
      <c r="GB50" s="189"/>
      <c r="GC50" s="189"/>
      <c r="GD50" s="189"/>
      <c r="GE50" s="189"/>
      <c r="GF50" s="189"/>
      <c r="GG50" s="189"/>
      <c r="GH50" s="189"/>
      <c r="GI50" s="189"/>
      <c r="GJ50" s="189"/>
      <c r="GK50" s="189"/>
      <c r="GL50" s="189"/>
      <c r="GM50" s="189"/>
      <c r="GN50" s="189"/>
      <c r="GO50" s="189"/>
      <c r="GP50" s="189"/>
      <c r="GQ50" s="189"/>
      <c r="GR50" s="189"/>
      <c r="GS50" s="189"/>
      <c r="GT50" s="189"/>
      <c r="GU50" s="189"/>
      <c r="GV50" s="189"/>
      <c r="GW50" s="189"/>
      <c r="GX50" s="189"/>
      <c r="GY50" s="189"/>
      <c r="GZ50" s="189"/>
      <c r="HA50" s="189"/>
      <c r="HB50" s="189"/>
      <c r="HC50" s="189"/>
      <c r="HD50" s="189"/>
      <c r="HE50" s="189"/>
      <c r="HF50" s="189"/>
      <c r="HG50" s="189"/>
      <c r="HH50" s="189"/>
      <c r="HI50" s="189"/>
      <c r="HJ50" s="189"/>
      <c r="HK50" s="189"/>
      <c r="HL50" s="189"/>
      <c r="HM50" s="189"/>
      <c r="HN50" s="189"/>
      <c r="HO50" s="189"/>
      <c r="HP50" s="189"/>
      <c r="HQ50" s="189"/>
      <c r="HR50" s="189"/>
      <c r="HS50" s="189"/>
      <c r="HT50" s="189"/>
      <c r="HU50" s="189"/>
      <c r="HV50" s="189"/>
      <c r="HW50" s="189"/>
      <c r="HX50" s="189"/>
      <c r="HY50" s="189"/>
      <c r="HZ50" s="189"/>
      <c r="IA50" s="189"/>
      <c r="IB50" s="189"/>
      <c r="IC50" s="189"/>
      <c r="ID50" s="189"/>
      <c r="IE50" s="189"/>
      <c r="IF50" s="189"/>
      <c r="IG50" s="189"/>
      <c r="IH50" s="189"/>
      <c r="II50" s="189"/>
      <c r="IJ50" s="189"/>
      <c r="IK50" s="189"/>
      <c r="IL50" s="189"/>
      <c r="IM50" s="189"/>
      <c r="IN50" s="189"/>
      <c r="IO50" s="189"/>
      <c r="IP50" s="189"/>
      <c r="IQ50" s="189"/>
      <c r="IR50" s="189"/>
      <c r="IS50" s="189"/>
      <c r="IT50" s="189"/>
      <c r="IU50" s="189"/>
    </row>
    <row r="51" spans="1:255" s="40" customFormat="1" ht="36" x14ac:dyDescent="0.2">
      <c r="A51" s="199">
        <v>28</v>
      </c>
      <c r="B51" s="200" t="s">
        <v>168</v>
      </c>
      <c r="C51" s="200" t="s">
        <v>169</v>
      </c>
      <c r="D51" s="200" t="s">
        <v>99</v>
      </c>
      <c r="E51" s="201">
        <f t="shared" si="2"/>
        <v>11</v>
      </c>
      <c r="F51" s="202"/>
      <c r="G51" s="202"/>
      <c r="H51" s="203"/>
      <c r="I51" s="203"/>
      <c r="N51" s="189"/>
      <c r="O51" s="189">
        <f t="shared" si="3"/>
        <v>11</v>
      </c>
      <c r="P51" s="189">
        <f>Source!I59</f>
        <v>11</v>
      </c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189"/>
      <c r="EN51" s="189"/>
      <c r="EO51" s="189"/>
      <c r="EP51" s="189"/>
      <c r="EQ51" s="189"/>
      <c r="ER51" s="189"/>
      <c r="ES51" s="189"/>
      <c r="ET51" s="189"/>
      <c r="EU51" s="189"/>
      <c r="EV51" s="189"/>
      <c r="EW51" s="189"/>
      <c r="EX51" s="189"/>
      <c r="EY51" s="189"/>
      <c r="EZ51" s="189"/>
      <c r="FA51" s="189"/>
      <c r="FB51" s="189"/>
      <c r="FC51" s="189"/>
      <c r="FD51" s="189"/>
      <c r="FE51" s="189"/>
      <c r="FF51" s="189"/>
      <c r="FG51" s="189"/>
      <c r="FH51" s="189"/>
      <c r="FI51" s="189"/>
      <c r="FJ51" s="189"/>
      <c r="FK51" s="189"/>
      <c r="FL51" s="189"/>
      <c r="FM51" s="189"/>
      <c r="FN51" s="189"/>
      <c r="FO51" s="189"/>
      <c r="FP51" s="189"/>
      <c r="FQ51" s="189"/>
      <c r="FR51" s="189"/>
      <c r="FS51" s="189"/>
      <c r="FT51" s="189"/>
      <c r="FU51" s="189"/>
      <c r="FV51" s="189"/>
      <c r="FW51" s="189"/>
      <c r="FX51" s="189"/>
      <c r="FY51" s="189"/>
      <c r="FZ51" s="189"/>
      <c r="GA51" s="189"/>
      <c r="GB51" s="189"/>
      <c r="GC51" s="189"/>
      <c r="GD51" s="189"/>
      <c r="GE51" s="189"/>
      <c r="GF51" s="189"/>
      <c r="GG51" s="189"/>
      <c r="GH51" s="189"/>
      <c r="GI51" s="189"/>
      <c r="GJ51" s="189"/>
      <c r="GK51" s="189"/>
      <c r="GL51" s="189"/>
      <c r="GM51" s="189"/>
      <c r="GN51" s="189"/>
      <c r="GO51" s="189"/>
      <c r="GP51" s="189"/>
      <c r="GQ51" s="189"/>
      <c r="GR51" s="189"/>
      <c r="GS51" s="189"/>
      <c r="GT51" s="189"/>
      <c r="GU51" s="189"/>
      <c r="GV51" s="189"/>
      <c r="GW51" s="189"/>
      <c r="GX51" s="189"/>
      <c r="GY51" s="189"/>
      <c r="GZ51" s="189"/>
      <c r="HA51" s="189"/>
      <c r="HB51" s="189"/>
      <c r="HC51" s="189"/>
      <c r="HD51" s="189"/>
      <c r="HE51" s="189"/>
      <c r="HF51" s="189"/>
      <c r="HG51" s="189"/>
      <c r="HH51" s="189"/>
      <c r="HI51" s="189"/>
      <c r="HJ51" s="189"/>
      <c r="HK51" s="189"/>
      <c r="HL51" s="189"/>
      <c r="HM51" s="189"/>
      <c r="HN51" s="189"/>
      <c r="HO51" s="189"/>
      <c r="HP51" s="189"/>
      <c r="HQ51" s="189"/>
      <c r="HR51" s="189"/>
      <c r="HS51" s="189"/>
      <c r="HT51" s="189"/>
      <c r="HU51" s="189"/>
      <c r="HV51" s="189"/>
      <c r="HW51" s="189"/>
      <c r="HX51" s="189"/>
      <c r="HY51" s="189"/>
      <c r="HZ51" s="189"/>
      <c r="IA51" s="189"/>
      <c r="IB51" s="189"/>
      <c r="IC51" s="189"/>
      <c r="ID51" s="189"/>
      <c r="IE51" s="189"/>
      <c r="IF51" s="189"/>
      <c r="IG51" s="189"/>
      <c r="IH51" s="189"/>
      <c r="II51" s="189"/>
      <c r="IJ51" s="189"/>
      <c r="IK51" s="189"/>
      <c r="IL51" s="189"/>
      <c r="IM51" s="189"/>
      <c r="IN51" s="189"/>
      <c r="IO51" s="189"/>
      <c r="IP51" s="189"/>
      <c r="IQ51" s="189"/>
      <c r="IR51" s="189"/>
      <c r="IS51" s="189"/>
      <c r="IT51" s="189"/>
      <c r="IU51" s="189"/>
    </row>
    <row r="52" spans="1:255" s="40" customFormat="1" ht="36" x14ac:dyDescent="0.2">
      <c r="A52" s="199">
        <v>29</v>
      </c>
      <c r="B52" s="200" t="s">
        <v>146</v>
      </c>
      <c r="C52" s="200" t="s">
        <v>147</v>
      </c>
      <c r="D52" s="200" t="s">
        <v>99</v>
      </c>
      <c r="E52" s="201">
        <f t="shared" si="2"/>
        <v>2</v>
      </c>
      <c r="F52" s="202"/>
      <c r="G52" s="202"/>
      <c r="H52" s="203"/>
      <c r="I52" s="203"/>
      <c r="N52" s="189"/>
      <c r="O52" s="189">
        <f t="shared" si="3"/>
        <v>2</v>
      </c>
      <c r="P52" s="189">
        <f>Source!I49</f>
        <v>2</v>
      </c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189"/>
      <c r="EN52" s="189"/>
      <c r="EO52" s="189"/>
      <c r="EP52" s="189"/>
      <c r="EQ52" s="189"/>
      <c r="ER52" s="189"/>
      <c r="ES52" s="189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89"/>
      <c r="FF52" s="189"/>
      <c r="FG52" s="189"/>
      <c r="FH52" s="189"/>
      <c r="FI52" s="189"/>
      <c r="FJ52" s="189"/>
      <c r="FK52" s="189"/>
      <c r="FL52" s="189"/>
      <c r="FM52" s="189"/>
      <c r="FN52" s="189"/>
      <c r="FO52" s="189"/>
      <c r="FP52" s="189"/>
      <c r="FQ52" s="189"/>
      <c r="FR52" s="189"/>
      <c r="FS52" s="189"/>
      <c r="FT52" s="189"/>
      <c r="FU52" s="189"/>
      <c r="FV52" s="189"/>
      <c r="FW52" s="189"/>
      <c r="FX52" s="189"/>
      <c r="FY52" s="189"/>
      <c r="FZ52" s="189"/>
      <c r="GA52" s="189"/>
      <c r="GB52" s="189"/>
      <c r="GC52" s="189"/>
      <c r="GD52" s="189"/>
      <c r="GE52" s="189"/>
      <c r="GF52" s="189"/>
      <c r="GG52" s="189"/>
      <c r="GH52" s="189"/>
      <c r="GI52" s="189"/>
      <c r="GJ52" s="189"/>
      <c r="GK52" s="189"/>
      <c r="GL52" s="189"/>
      <c r="GM52" s="189"/>
      <c r="GN52" s="189"/>
      <c r="GO52" s="189"/>
      <c r="GP52" s="189"/>
      <c r="GQ52" s="189"/>
      <c r="GR52" s="189"/>
      <c r="GS52" s="189"/>
      <c r="GT52" s="189"/>
      <c r="GU52" s="189"/>
      <c r="GV52" s="189"/>
      <c r="GW52" s="189"/>
      <c r="GX52" s="189"/>
      <c r="GY52" s="189"/>
      <c r="GZ52" s="189"/>
      <c r="HA52" s="189"/>
      <c r="HB52" s="189"/>
      <c r="HC52" s="189"/>
      <c r="HD52" s="189"/>
      <c r="HE52" s="189"/>
      <c r="HF52" s="189"/>
      <c r="HG52" s="189"/>
      <c r="HH52" s="189"/>
      <c r="HI52" s="189"/>
      <c r="HJ52" s="189"/>
      <c r="HK52" s="189"/>
      <c r="HL52" s="189"/>
      <c r="HM52" s="189"/>
      <c r="HN52" s="189"/>
      <c r="HO52" s="189"/>
      <c r="HP52" s="189"/>
      <c r="HQ52" s="189"/>
      <c r="HR52" s="189"/>
      <c r="HS52" s="189"/>
      <c r="HT52" s="189"/>
      <c r="HU52" s="189"/>
      <c r="HV52" s="189"/>
      <c r="HW52" s="189"/>
      <c r="HX52" s="189"/>
      <c r="HY52" s="189"/>
      <c r="HZ52" s="189"/>
      <c r="IA52" s="189"/>
      <c r="IB52" s="189"/>
      <c r="IC52" s="189"/>
      <c r="ID52" s="189"/>
      <c r="IE52" s="189"/>
      <c r="IF52" s="189"/>
      <c r="IG52" s="189"/>
      <c r="IH52" s="189"/>
      <c r="II52" s="189"/>
      <c r="IJ52" s="189"/>
      <c r="IK52" s="189"/>
      <c r="IL52" s="189"/>
      <c r="IM52" s="189"/>
      <c r="IN52" s="189"/>
      <c r="IO52" s="189"/>
      <c r="IP52" s="189"/>
      <c r="IQ52" s="189"/>
      <c r="IR52" s="189"/>
      <c r="IS52" s="189"/>
      <c r="IT52" s="189"/>
      <c r="IU52" s="189"/>
    </row>
    <row r="53" spans="1:255" s="40" customFormat="1" ht="36" x14ac:dyDescent="0.2">
      <c r="A53" s="199">
        <v>30</v>
      </c>
      <c r="B53" s="200" t="s">
        <v>142</v>
      </c>
      <c r="C53" s="200" t="s">
        <v>143</v>
      </c>
      <c r="D53" s="200" t="s">
        <v>99</v>
      </c>
      <c r="E53" s="201">
        <f t="shared" si="2"/>
        <v>1</v>
      </c>
      <c r="F53" s="202"/>
      <c r="G53" s="202"/>
      <c r="H53" s="203"/>
      <c r="I53" s="203"/>
      <c r="N53" s="189"/>
      <c r="O53" s="189">
        <f t="shared" si="3"/>
        <v>1</v>
      </c>
      <c r="P53" s="189">
        <f>Source!I48</f>
        <v>1</v>
      </c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189"/>
      <c r="EN53" s="189"/>
      <c r="EO53" s="189"/>
      <c r="EP53" s="189"/>
      <c r="EQ53" s="189"/>
      <c r="ER53" s="189"/>
      <c r="ES53" s="189"/>
      <c r="ET53" s="189"/>
      <c r="EU53" s="189"/>
      <c r="EV53" s="189"/>
      <c r="EW53" s="189"/>
      <c r="EX53" s="189"/>
      <c r="EY53" s="189"/>
      <c r="EZ53" s="189"/>
      <c r="FA53" s="189"/>
      <c r="FB53" s="189"/>
      <c r="FC53" s="189"/>
      <c r="FD53" s="189"/>
      <c r="FE53" s="189"/>
      <c r="FF53" s="189"/>
      <c r="FG53" s="189"/>
      <c r="FH53" s="189"/>
      <c r="FI53" s="189"/>
      <c r="FJ53" s="189"/>
      <c r="FK53" s="189"/>
      <c r="FL53" s="189"/>
      <c r="FM53" s="189"/>
      <c r="FN53" s="189"/>
      <c r="FO53" s="189"/>
      <c r="FP53" s="189"/>
      <c r="FQ53" s="189"/>
      <c r="FR53" s="189"/>
      <c r="FS53" s="189"/>
      <c r="FT53" s="189"/>
      <c r="FU53" s="189"/>
      <c r="FV53" s="189"/>
      <c r="FW53" s="189"/>
      <c r="FX53" s="189"/>
      <c r="FY53" s="189"/>
      <c r="FZ53" s="189"/>
      <c r="GA53" s="189"/>
      <c r="GB53" s="189"/>
      <c r="GC53" s="189"/>
      <c r="GD53" s="189"/>
      <c r="GE53" s="189"/>
      <c r="GF53" s="189"/>
      <c r="GG53" s="189"/>
      <c r="GH53" s="189"/>
      <c r="GI53" s="189"/>
      <c r="GJ53" s="189"/>
      <c r="GK53" s="189"/>
      <c r="GL53" s="189"/>
      <c r="GM53" s="189"/>
      <c r="GN53" s="189"/>
      <c r="GO53" s="189"/>
      <c r="GP53" s="189"/>
      <c r="GQ53" s="189"/>
      <c r="GR53" s="189"/>
      <c r="GS53" s="189"/>
      <c r="GT53" s="189"/>
      <c r="GU53" s="189"/>
      <c r="GV53" s="189"/>
      <c r="GW53" s="189"/>
      <c r="GX53" s="189"/>
      <c r="GY53" s="189"/>
      <c r="GZ53" s="189"/>
      <c r="HA53" s="189"/>
      <c r="HB53" s="189"/>
      <c r="HC53" s="189"/>
      <c r="HD53" s="189"/>
      <c r="HE53" s="189"/>
      <c r="HF53" s="189"/>
      <c r="HG53" s="189"/>
      <c r="HH53" s="189"/>
      <c r="HI53" s="189"/>
      <c r="HJ53" s="189"/>
      <c r="HK53" s="189"/>
      <c r="HL53" s="189"/>
      <c r="HM53" s="189"/>
      <c r="HN53" s="189"/>
      <c r="HO53" s="189"/>
      <c r="HP53" s="189"/>
      <c r="HQ53" s="189"/>
      <c r="HR53" s="189"/>
      <c r="HS53" s="189"/>
      <c r="HT53" s="189"/>
      <c r="HU53" s="189"/>
      <c r="HV53" s="189"/>
      <c r="HW53" s="189"/>
      <c r="HX53" s="189"/>
      <c r="HY53" s="189"/>
      <c r="HZ53" s="189"/>
      <c r="IA53" s="189"/>
      <c r="IB53" s="189"/>
      <c r="IC53" s="189"/>
      <c r="ID53" s="189"/>
      <c r="IE53" s="189"/>
      <c r="IF53" s="189"/>
      <c r="IG53" s="189"/>
      <c r="IH53" s="189"/>
      <c r="II53" s="189"/>
      <c r="IJ53" s="189"/>
      <c r="IK53" s="189"/>
      <c r="IL53" s="189"/>
      <c r="IM53" s="189"/>
      <c r="IN53" s="189"/>
      <c r="IO53" s="189"/>
      <c r="IP53" s="189"/>
      <c r="IQ53" s="189"/>
      <c r="IR53" s="189"/>
      <c r="IS53" s="189"/>
      <c r="IT53" s="189"/>
      <c r="IU53" s="189"/>
    </row>
    <row r="54" spans="1:255" s="40" customFormat="1" ht="36" x14ac:dyDescent="0.2">
      <c r="A54" s="199">
        <v>31</v>
      </c>
      <c r="B54" s="200" t="s">
        <v>119</v>
      </c>
      <c r="C54" s="200" t="s">
        <v>120</v>
      </c>
      <c r="D54" s="200" t="s">
        <v>99</v>
      </c>
      <c r="E54" s="201">
        <f t="shared" si="2"/>
        <v>15</v>
      </c>
      <c r="F54" s="202"/>
      <c r="G54" s="202"/>
      <c r="H54" s="203"/>
      <c r="I54" s="203"/>
      <c r="N54" s="189"/>
      <c r="O54" s="189">
        <f t="shared" si="3"/>
        <v>15</v>
      </c>
      <c r="P54" s="189">
        <f>Source!I43</f>
        <v>15</v>
      </c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  <c r="DW54" s="189"/>
      <c r="DX54" s="189"/>
      <c r="DY54" s="189"/>
      <c r="DZ54" s="189"/>
      <c r="EA54" s="189"/>
      <c r="EB54" s="189"/>
      <c r="EC54" s="189"/>
      <c r="ED54" s="189"/>
      <c r="EE54" s="189"/>
      <c r="EF54" s="189"/>
      <c r="EG54" s="189"/>
      <c r="EH54" s="189"/>
      <c r="EI54" s="189"/>
      <c r="EJ54" s="189"/>
      <c r="EK54" s="189"/>
      <c r="EL54" s="189"/>
      <c r="EM54" s="189"/>
      <c r="EN54" s="189"/>
      <c r="EO54" s="189"/>
      <c r="EP54" s="189"/>
      <c r="EQ54" s="189"/>
      <c r="ER54" s="189"/>
      <c r="ES54" s="189"/>
      <c r="ET54" s="189"/>
      <c r="EU54" s="189"/>
      <c r="EV54" s="189"/>
      <c r="EW54" s="189"/>
      <c r="EX54" s="189"/>
      <c r="EY54" s="189"/>
      <c r="EZ54" s="189"/>
      <c r="FA54" s="189"/>
      <c r="FB54" s="189"/>
      <c r="FC54" s="189"/>
      <c r="FD54" s="189"/>
      <c r="FE54" s="189"/>
      <c r="FF54" s="189"/>
      <c r="FG54" s="189"/>
      <c r="FH54" s="189"/>
      <c r="FI54" s="189"/>
      <c r="FJ54" s="189"/>
      <c r="FK54" s="189"/>
      <c r="FL54" s="189"/>
      <c r="FM54" s="189"/>
      <c r="FN54" s="189"/>
      <c r="FO54" s="189"/>
      <c r="FP54" s="189"/>
      <c r="FQ54" s="189"/>
      <c r="FR54" s="189"/>
      <c r="FS54" s="189"/>
      <c r="FT54" s="189"/>
      <c r="FU54" s="189"/>
      <c r="FV54" s="189"/>
      <c r="FW54" s="189"/>
      <c r="FX54" s="189"/>
      <c r="FY54" s="189"/>
      <c r="FZ54" s="189"/>
      <c r="GA54" s="189"/>
      <c r="GB54" s="189"/>
      <c r="GC54" s="189"/>
      <c r="GD54" s="189"/>
      <c r="GE54" s="189"/>
      <c r="GF54" s="189"/>
      <c r="GG54" s="189"/>
      <c r="GH54" s="189"/>
      <c r="GI54" s="189"/>
      <c r="GJ54" s="189"/>
      <c r="GK54" s="189"/>
      <c r="GL54" s="189"/>
      <c r="GM54" s="189"/>
      <c r="GN54" s="189"/>
      <c r="GO54" s="189"/>
      <c r="GP54" s="189"/>
      <c r="GQ54" s="189"/>
      <c r="GR54" s="189"/>
      <c r="GS54" s="189"/>
      <c r="GT54" s="189"/>
      <c r="GU54" s="189"/>
      <c r="GV54" s="189"/>
      <c r="GW54" s="189"/>
      <c r="GX54" s="189"/>
      <c r="GY54" s="189"/>
      <c r="GZ54" s="189"/>
      <c r="HA54" s="189"/>
      <c r="HB54" s="189"/>
      <c r="HC54" s="189"/>
      <c r="HD54" s="189"/>
      <c r="HE54" s="189"/>
      <c r="HF54" s="189"/>
      <c r="HG54" s="189"/>
      <c r="HH54" s="189"/>
      <c r="HI54" s="189"/>
      <c r="HJ54" s="189"/>
      <c r="HK54" s="189"/>
      <c r="HL54" s="189"/>
      <c r="HM54" s="189"/>
      <c r="HN54" s="189"/>
      <c r="HO54" s="189"/>
      <c r="HP54" s="189"/>
      <c r="HQ54" s="189"/>
      <c r="HR54" s="189"/>
      <c r="HS54" s="189"/>
      <c r="HT54" s="189"/>
      <c r="HU54" s="189"/>
      <c r="HV54" s="189"/>
      <c r="HW54" s="189"/>
      <c r="HX54" s="189"/>
      <c r="HY54" s="189"/>
      <c r="HZ54" s="189"/>
      <c r="IA54" s="189"/>
      <c r="IB54" s="189"/>
      <c r="IC54" s="189"/>
      <c r="ID54" s="189"/>
      <c r="IE54" s="189"/>
      <c r="IF54" s="189"/>
      <c r="IG54" s="189"/>
      <c r="IH54" s="189"/>
      <c r="II54" s="189"/>
      <c r="IJ54" s="189"/>
      <c r="IK54" s="189"/>
      <c r="IL54" s="189"/>
      <c r="IM54" s="189"/>
      <c r="IN54" s="189"/>
      <c r="IO54" s="189"/>
      <c r="IP54" s="189"/>
      <c r="IQ54" s="189"/>
      <c r="IR54" s="189"/>
      <c r="IS54" s="189"/>
      <c r="IT54" s="189"/>
      <c r="IU54" s="189"/>
    </row>
    <row r="55" spans="1:255" s="40" customFormat="1" ht="24" x14ac:dyDescent="0.2">
      <c r="A55" s="199">
        <v>32</v>
      </c>
      <c r="B55" s="200" t="s">
        <v>176</v>
      </c>
      <c r="C55" s="200" t="s">
        <v>177</v>
      </c>
      <c r="D55" s="200" t="s">
        <v>99</v>
      </c>
      <c r="E55" s="201">
        <f t="shared" si="2"/>
        <v>11</v>
      </c>
      <c r="F55" s="202"/>
      <c r="G55" s="202"/>
      <c r="H55" s="204"/>
      <c r="I55" s="204"/>
      <c r="N55" s="189"/>
      <c r="O55" s="189">
        <f t="shared" si="3"/>
        <v>11</v>
      </c>
      <c r="P55" s="189">
        <f>Source!I61</f>
        <v>11</v>
      </c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  <c r="DV55" s="189"/>
      <c r="DW55" s="189"/>
      <c r="DX55" s="189"/>
      <c r="DY55" s="189"/>
      <c r="DZ55" s="189"/>
      <c r="EA55" s="189"/>
      <c r="EB55" s="189"/>
      <c r="EC55" s="189"/>
      <c r="ED55" s="189"/>
      <c r="EE55" s="189"/>
      <c r="EF55" s="189"/>
      <c r="EG55" s="189"/>
      <c r="EH55" s="189"/>
      <c r="EI55" s="189"/>
      <c r="EJ55" s="189"/>
      <c r="EK55" s="189"/>
      <c r="EL55" s="189"/>
      <c r="EM55" s="189"/>
      <c r="EN55" s="189"/>
      <c r="EO55" s="189"/>
      <c r="EP55" s="189"/>
      <c r="EQ55" s="189"/>
      <c r="ER55" s="189"/>
      <c r="ES55" s="189"/>
      <c r="ET55" s="189"/>
      <c r="EU55" s="189"/>
      <c r="EV55" s="189"/>
      <c r="EW55" s="189"/>
      <c r="EX55" s="189"/>
      <c r="EY55" s="189"/>
      <c r="EZ55" s="189"/>
      <c r="FA55" s="189"/>
      <c r="FB55" s="189"/>
      <c r="FC55" s="189"/>
      <c r="FD55" s="189"/>
      <c r="FE55" s="189"/>
      <c r="FF55" s="189"/>
      <c r="FG55" s="189"/>
      <c r="FH55" s="189"/>
      <c r="FI55" s="189"/>
      <c r="FJ55" s="189"/>
      <c r="FK55" s="189"/>
      <c r="FL55" s="189"/>
      <c r="FM55" s="189"/>
      <c r="FN55" s="189"/>
      <c r="FO55" s="189"/>
      <c r="FP55" s="189"/>
      <c r="FQ55" s="189"/>
      <c r="FR55" s="189"/>
      <c r="FS55" s="189"/>
      <c r="FT55" s="189"/>
      <c r="FU55" s="189"/>
      <c r="FV55" s="189"/>
      <c r="FW55" s="189"/>
      <c r="FX55" s="189"/>
      <c r="FY55" s="189"/>
      <c r="FZ55" s="189"/>
      <c r="GA55" s="189"/>
      <c r="GB55" s="189"/>
      <c r="GC55" s="189"/>
      <c r="GD55" s="189"/>
      <c r="GE55" s="189"/>
      <c r="GF55" s="189"/>
      <c r="GG55" s="189"/>
      <c r="GH55" s="189"/>
      <c r="GI55" s="189"/>
      <c r="GJ55" s="189"/>
      <c r="GK55" s="189"/>
      <c r="GL55" s="189"/>
      <c r="GM55" s="189"/>
      <c r="GN55" s="189"/>
      <c r="GO55" s="189"/>
      <c r="GP55" s="189"/>
      <c r="GQ55" s="189"/>
      <c r="GR55" s="189"/>
      <c r="GS55" s="189"/>
      <c r="GT55" s="189"/>
      <c r="GU55" s="189"/>
      <c r="GV55" s="189"/>
      <c r="GW55" s="189"/>
      <c r="GX55" s="189"/>
      <c r="GY55" s="189"/>
      <c r="GZ55" s="189"/>
      <c r="HA55" s="189"/>
      <c r="HB55" s="189"/>
      <c r="HC55" s="189"/>
      <c r="HD55" s="189"/>
      <c r="HE55" s="189"/>
      <c r="HF55" s="189"/>
      <c r="HG55" s="189"/>
      <c r="HH55" s="189"/>
      <c r="HI55" s="189"/>
      <c r="HJ55" s="189"/>
      <c r="HK55" s="189"/>
      <c r="HL55" s="189"/>
      <c r="HM55" s="189"/>
      <c r="HN55" s="189"/>
      <c r="HO55" s="189"/>
      <c r="HP55" s="189"/>
      <c r="HQ55" s="189"/>
      <c r="HR55" s="189"/>
      <c r="HS55" s="189"/>
      <c r="HT55" s="189"/>
      <c r="HU55" s="189"/>
      <c r="HV55" s="189"/>
      <c r="HW55" s="189"/>
      <c r="HX55" s="189"/>
      <c r="HY55" s="189"/>
      <c r="HZ55" s="189"/>
      <c r="IA55" s="189"/>
      <c r="IB55" s="189"/>
      <c r="IC55" s="189"/>
      <c r="ID55" s="189"/>
      <c r="IE55" s="189"/>
      <c r="IF55" s="189"/>
      <c r="IG55" s="189"/>
      <c r="IH55" s="189"/>
      <c r="II55" s="189"/>
      <c r="IJ55" s="189"/>
      <c r="IK55" s="189"/>
      <c r="IL55" s="189"/>
      <c r="IM55" s="189"/>
      <c r="IN55" s="189"/>
      <c r="IO55" s="189"/>
      <c r="IP55" s="189"/>
      <c r="IQ55" s="189"/>
      <c r="IR55" s="189"/>
      <c r="IS55" s="189"/>
      <c r="IT55" s="189"/>
      <c r="IU55" s="189"/>
    </row>
    <row r="56" spans="1:255" s="40" customFormat="1" ht="24" x14ac:dyDescent="0.2">
      <c r="A56" s="199">
        <v>33</v>
      </c>
      <c r="B56" s="200" t="s">
        <v>132</v>
      </c>
      <c r="C56" s="200" t="s">
        <v>133</v>
      </c>
      <c r="D56" s="200" t="s">
        <v>99</v>
      </c>
      <c r="E56" s="201">
        <f t="shared" si="2"/>
        <v>16</v>
      </c>
      <c r="F56" s="202"/>
      <c r="G56" s="202"/>
      <c r="H56" s="204"/>
      <c r="I56" s="204"/>
      <c r="N56" s="189"/>
      <c r="O56" s="189">
        <f t="shared" si="3"/>
        <v>16</v>
      </c>
      <c r="P56" s="189">
        <f>Source!I46</f>
        <v>15</v>
      </c>
      <c r="Q56" s="189">
        <f>Source!I54</f>
        <v>1</v>
      </c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  <c r="DW56" s="189"/>
      <c r="DX56" s="189"/>
      <c r="DY56" s="189"/>
      <c r="DZ56" s="189"/>
      <c r="EA56" s="189"/>
      <c r="EB56" s="189"/>
      <c r="EC56" s="189"/>
      <c r="ED56" s="189"/>
      <c r="EE56" s="189"/>
      <c r="EF56" s="189"/>
      <c r="EG56" s="189"/>
      <c r="EH56" s="189"/>
      <c r="EI56" s="189"/>
      <c r="EJ56" s="189"/>
      <c r="EK56" s="189"/>
      <c r="EL56" s="189"/>
      <c r="EM56" s="189"/>
      <c r="EN56" s="189"/>
      <c r="EO56" s="189"/>
      <c r="EP56" s="189"/>
      <c r="EQ56" s="189"/>
      <c r="ER56" s="189"/>
      <c r="ES56" s="189"/>
      <c r="ET56" s="189"/>
      <c r="EU56" s="189"/>
      <c r="EV56" s="189"/>
      <c r="EW56" s="189"/>
      <c r="EX56" s="189"/>
      <c r="EY56" s="189"/>
      <c r="EZ56" s="189"/>
      <c r="FA56" s="189"/>
      <c r="FB56" s="189"/>
      <c r="FC56" s="189"/>
      <c r="FD56" s="189"/>
      <c r="FE56" s="189"/>
      <c r="FF56" s="189"/>
      <c r="FG56" s="189"/>
      <c r="FH56" s="189"/>
      <c r="FI56" s="189"/>
      <c r="FJ56" s="189"/>
      <c r="FK56" s="189"/>
      <c r="FL56" s="189"/>
      <c r="FM56" s="189"/>
      <c r="FN56" s="189"/>
      <c r="FO56" s="189"/>
      <c r="FP56" s="189"/>
      <c r="FQ56" s="189"/>
      <c r="FR56" s="189"/>
      <c r="FS56" s="189"/>
      <c r="FT56" s="189"/>
      <c r="FU56" s="189"/>
      <c r="FV56" s="189"/>
      <c r="FW56" s="189"/>
      <c r="FX56" s="189"/>
      <c r="FY56" s="189"/>
      <c r="FZ56" s="189"/>
      <c r="GA56" s="189"/>
      <c r="GB56" s="189"/>
      <c r="GC56" s="189"/>
      <c r="GD56" s="189"/>
      <c r="GE56" s="189"/>
      <c r="GF56" s="189"/>
      <c r="GG56" s="189"/>
      <c r="GH56" s="189"/>
      <c r="GI56" s="189"/>
      <c r="GJ56" s="189"/>
      <c r="GK56" s="189"/>
      <c r="GL56" s="189"/>
      <c r="GM56" s="189"/>
      <c r="GN56" s="189"/>
      <c r="GO56" s="189"/>
      <c r="GP56" s="189"/>
      <c r="GQ56" s="189"/>
      <c r="GR56" s="189"/>
      <c r="GS56" s="189"/>
      <c r="GT56" s="189"/>
      <c r="GU56" s="189"/>
      <c r="GV56" s="189"/>
      <c r="GW56" s="189"/>
      <c r="GX56" s="189"/>
      <c r="GY56" s="189"/>
      <c r="GZ56" s="189"/>
      <c r="HA56" s="189"/>
      <c r="HB56" s="189"/>
      <c r="HC56" s="189"/>
      <c r="HD56" s="189"/>
      <c r="HE56" s="189"/>
      <c r="HF56" s="189"/>
      <c r="HG56" s="189"/>
      <c r="HH56" s="189"/>
      <c r="HI56" s="189"/>
      <c r="HJ56" s="189"/>
      <c r="HK56" s="189"/>
      <c r="HL56" s="189"/>
      <c r="HM56" s="189"/>
      <c r="HN56" s="189"/>
      <c r="HO56" s="189"/>
      <c r="HP56" s="189"/>
      <c r="HQ56" s="189"/>
      <c r="HR56" s="189"/>
      <c r="HS56" s="189"/>
      <c r="HT56" s="189"/>
      <c r="HU56" s="189"/>
      <c r="HV56" s="189"/>
      <c r="HW56" s="189"/>
      <c r="HX56" s="189"/>
      <c r="HY56" s="189"/>
      <c r="HZ56" s="189"/>
      <c r="IA56" s="189"/>
      <c r="IB56" s="189"/>
      <c r="IC56" s="189"/>
      <c r="ID56" s="189"/>
      <c r="IE56" s="189"/>
      <c r="IF56" s="189"/>
      <c r="IG56" s="189"/>
      <c r="IH56" s="189"/>
      <c r="II56" s="189"/>
      <c r="IJ56" s="189"/>
      <c r="IK56" s="189"/>
      <c r="IL56" s="189"/>
      <c r="IM56" s="189"/>
      <c r="IN56" s="189"/>
      <c r="IO56" s="189"/>
      <c r="IP56" s="189"/>
      <c r="IQ56" s="189"/>
      <c r="IR56" s="189"/>
      <c r="IS56" s="189"/>
      <c r="IT56" s="189"/>
      <c r="IU56" s="189"/>
    </row>
    <row r="57" spans="1:255" s="40" customFormat="1" ht="36" x14ac:dyDescent="0.2">
      <c r="A57" s="199">
        <v>34</v>
      </c>
      <c r="B57" s="200" t="s">
        <v>127</v>
      </c>
      <c r="C57" s="200" t="s">
        <v>128</v>
      </c>
      <c r="D57" s="200" t="s">
        <v>129</v>
      </c>
      <c r="E57" s="201">
        <f t="shared" si="2"/>
        <v>0.19919999999999999</v>
      </c>
      <c r="F57" s="202"/>
      <c r="G57" s="202"/>
      <c r="H57" s="203"/>
      <c r="I57" s="203"/>
      <c r="N57" s="189"/>
      <c r="O57" s="189">
        <f t="shared" si="3"/>
        <v>0.19919999999999999</v>
      </c>
      <c r="P57" s="189">
        <f>Source!I45</f>
        <v>0.183</v>
      </c>
      <c r="Q57" s="189">
        <f>Source!I53</f>
        <v>1.6199999999999999E-2</v>
      </c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  <c r="DV57" s="189"/>
      <c r="DW57" s="189"/>
      <c r="DX57" s="189"/>
      <c r="DY57" s="189"/>
      <c r="DZ57" s="189"/>
      <c r="EA57" s="189"/>
      <c r="EB57" s="189"/>
      <c r="EC57" s="189"/>
      <c r="ED57" s="189"/>
      <c r="EE57" s="189"/>
      <c r="EF57" s="189"/>
      <c r="EG57" s="189"/>
      <c r="EH57" s="189"/>
      <c r="EI57" s="189"/>
      <c r="EJ57" s="189"/>
      <c r="EK57" s="189"/>
      <c r="EL57" s="189"/>
      <c r="EM57" s="189"/>
      <c r="EN57" s="189"/>
      <c r="EO57" s="189"/>
      <c r="EP57" s="189"/>
      <c r="EQ57" s="189"/>
      <c r="ER57" s="189"/>
      <c r="ES57" s="189"/>
      <c r="ET57" s="189"/>
      <c r="EU57" s="189"/>
      <c r="EV57" s="189"/>
      <c r="EW57" s="189"/>
      <c r="EX57" s="189"/>
      <c r="EY57" s="189"/>
      <c r="EZ57" s="189"/>
      <c r="FA57" s="189"/>
      <c r="FB57" s="189"/>
      <c r="FC57" s="189"/>
      <c r="FD57" s="189"/>
      <c r="FE57" s="189"/>
      <c r="FF57" s="189"/>
      <c r="FG57" s="189"/>
      <c r="FH57" s="189"/>
      <c r="FI57" s="189"/>
      <c r="FJ57" s="189"/>
      <c r="FK57" s="189"/>
      <c r="FL57" s="189"/>
      <c r="FM57" s="189"/>
      <c r="FN57" s="189"/>
      <c r="FO57" s="189"/>
      <c r="FP57" s="189"/>
      <c r="FQ57" s="189"/>
      <c r="FR57" s="189"/>
      <c r="FS57" s="189"/>
      <c r="FT57" s="189"/>
      <c r="FU57" s="189"/>
      <c r="FV57" s="189"/>
      <c r="FW57" s="189"/>
      <c r="FX57" s="189"/>
      <c r="FY57" s="189"/>
      <c r="FZ57" s="189"/>
      <c r="GA57" s="189"/>
      <c r="GB57" s="189"/>
      <c r="GC57" s="189"/>
      <c r="GD57" s="189"/>
      <c r="GE57" s="189"/>
      <c r="GF57" s="189"/>
      <c r="GG57" s="189"/>
      <c r="GH57" s="189"/>
      <c r="GI57" s="189"/>
      <c r="GJ57" s="189"/>
      <c r="GK57" s="189"/>
      <c r="GL57" s="189"/>
      <c r="GM57" s="189"/>
      <c r="GN57" s="189"/>
      <c r="GO57" s="189"/>
      <c r="GP57" s="189"/>
      <c r="GQ57" s="189"/>
      <c r="GR57" s="189"/>
      <c r="GS57" s="189"/>
      <c r="GT57" s="189"/>
      <c r="GU57" s="189"/>
      <c r="GV57" s="189"/>
      <c r="GW57" s="189"/>
      <c r="GX57" s="189"/>
      <c r="GY57" s="189"/>
      <c r="GZ57" s="189"/>
      <c r="HA57" s="189"/>
      <c r="HB57" s="189"/>
      <c r="HC57" s="189"/>
      <c r="HD57" s="189"/>
      <c r="HE57" s="189"/>
      <c r="HF57" s="189"/>
      <c r="HG57" s="189"/>
      <c r="HH57" s="189"/>
      <c r="HI57" s="189"/>
      <c r="HJ57" s="189"/>
      <c r="HK57" s="189"/>
      <c r="HL57" s="189"/>
      <c r="HM57" s="189"/>
      <c r="HN57" s="189"/>
      <c r="HO57" s="189"/>
      <c r="HP57" s="189"/>
      <c r="HQ57" s="189"/>
      <c r="HR57" s="189"/>
      <c r="HS57" s="189"/>
      <c r="HT57" s="189"/>
      <c r="HU57" s="189"/>
      <c r="HV57" s="189"/>
      <c r="HW57" s="189"/>
      <c r="HX57" s="189"/>
      <c r="HY57" s="189"/>
      <c r="HZ57" s="189"/>
      <c r="IA57" s="189"/>
      <c r="IB57" s="189"/>
      <c r="IC57" s="189"/>
      <c r="ID57" s="189"/>
      <c r="IE57" s="189"/>
      <c r="IF57" s="189"/>
      <c r="IG57" s="189"/>
      <c r="IH57" s="189"/>
      <c r="II57" s="189"/>
      <c r="IJ57" s="189"/>
      <c r="IK57" s="189"/>
      <c r="IL57" s="189"/>
      <c r="IM57" s="189"/>
      <c r="IN57" s="189"/>
      <c r="IO57" s="189"/>
      <c r="IP57" s="189"/>
      <c r="IQ57" s="189"/>
      <c r="IR57" s="189"/>
      <c r="IS57" s="189"/>
      <c r="IT57" s="189"/>
      <c r="IU57" s="189"/>
    </row>
    <row r="58" spans="1:255" s="40" customFormat="1" ht="48" x14ac:dyDescent="0.2">
      <c r="A58" s="199">
        <v>35</v>
      </c>
      <c r="B58" s="200" t="s">
        <v>75</v>
      </c>
      <c r="C58" s="200" t="s">
        <v>76</v>
      </c>
      <c r="D58" s="200" t="s">
        <v>33</v>
      </c>
      <c r="E58" s="201">
        <f t="shared" si="2"/>
        <v>476.29999999999995</v>
      </c>
      <c r="F58" s="202"/>
      <c r="G58" s="202"/>
      <c r="H58" s="203"/>
      <c r="I58" s="203"/>
      <c r="N58" s="189"/>
      <c r="O58" s="189">
        <f t="shared" si="3"/>
        <v>476.29999999999995</v>
      </c>
      <c r="P58" s="189">
        <f>Source!I33</f>
        <v>56.099999999999994</v>
      </c>
      <c r="Q58" s="189">
        <f>Source!I69</f>
        <v>420.2</v>
      </c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  <c r="DW58" s="189"/>
      <c r="DX58" s="189"/>
      <c r="DY58" s="189"/>
      <c r="DZ58" s="189"/>
      <c r="EA58" s="189"/>
      <c r="EB58" s="189"/>
      <c r="EC58" s="189"/>
      <c r="ED58" s="189"/>
      <c r="EE58" s="189"/>
      <c r="EF58" s="189"/>
      <c r="EG58" s="189"/>
      <c r="EH58" s="189"/>
      <c r="EI58" s="189"/>
      <c r="EJ58" s="189"/>
      <c r="EK58" s="189"/>
      <c r="EL58" s="189"/>
      <c r="EM58" s="189"/>
      <c r="EN58" s="189"/>
      <c r="EO58" s="189"/>
      <c r="EP58" s="189"/>
      <c r="EQ58" s="189"/>
      <c r="ER58" s="189"/>
      <c r="ES58" s="189"/>
      <c r="ET58" s="189"/>
      <c r="EU58" s="189"/>
      <c r="EV58" s="189"/>
      <c r="EW58" s="189"/>
      <c r="EX58" s="189"/>
      <c r="EY58" s="189"/>
      <c r="EZ58" s="189"/>
      <c r="FA58" s="189"/>
      <c r="FB58" s="189"/>
      <c r="FC58" s="189"/>
      <c r="FD58" s="189"/>
      <c r="FE58" s="189"/>
      <c r="FF58" s="189"/>
      <c r="FG58" s="189"/>
      <c r="FH58" s="189"/>
      <c r="FI58" s="189"/>
      <c r="FJ58" s="189"/>
      <c r="FK58" s="189"/>
      <c r="FL58" s="189"/>
      <c r="FM58" s="189"/>
      <c r="FN58" s="189"/>
      <c r="FO58" s="189"/>
      <c r="FP58" s="189"/>
      <c r="FQ58" s="189"/>
      <c r="FR58" s="189"/>
      <c r="FS58" s="189"/>
      <c r="FT58" s="189"/>
      <c r="FU58" s="189"/>
      <c r="FV58" s="189"/>
      <c r="FW58" s="189"/>
      <c r="FX58" s="189"/>
      <c r="FY58" s="189"/>
      <c r="FZ58" s="189"/>
      <c r="GA58" s="189"/>
      <c r="GB58" s="189"/>
      <c r="GC58" s="189"/>
      <c r="GD58" s="189"/>
      <c r="GE58" s="189"/>
      <c r="GF58" s="189"/>
      <c r="GG58" s="189"/>
      <c r="GH58" s="189"/>
      <c r="GI58" s="189"/>
      <c r="GJ58" s="189"/>
      <c r="GK58" s="189"/>
      <c r="GL58" s="189"/>
      <c r="GM58" s="189"/>
      <c r="GN58" s="189"/>
      <c r="GO58" s="189"/>
      <c r="GP58" s="189"/>
      <c r="GQ58" s="189"/>
      <c r="GR58" s="189"/>
      <c r="GS58" s="189"/>
      <c r="GT58" s="189"/>
      <c r="GU58" s="189"/>
      <c r="GV58" s="189"/>
      <c r="GW58" s="189"/>
      <c r="GX58" s="189"/>
      <c r="GY58" s="189"/>
      <c r="GZ58" s="189"/>
      <c r="HA58" s="189"/>
      <c r="HB58" s="189"/>
      <c r="HC58" s="189"/>
      <c r="HD58" s="189"/>
      <c r="HE58" s="189"/>
      <c r="HF58" s="189"/>
      <c r="HG58" s="189"/>
      <c r="HH58" s="189"/>
      <c r="HI58" s="189"/>
      <c r="HJ58" s="189"/>
      <c r="HK58" s="189"/>
      <c r="HL58" s="189"/>
      <c r="HM58" s="189"/>
      <c r="HN58" s="189"/>
      <c r="HO58" s="189"/>
      <c r="HP58" s="189"/>
      <c r="HQ58" s="189"/>
      <c r="HR58" s="189"/>
      <c r="HS58" s="189"/>
      <c r="HT58" s="189"/>
      <c r="HU58" s="189"/>
      <c r="HV58" s="189"/>
      <c r="HW58" s="189"/>
      <c r="HX58" s="189"/>
      <c r="HY58" s="189"/>
      <c r="HZ58" s="189"/>
      <c r="IA58" s="189"/>
      <c r="IB58" s="189"/>
      <c r="IC58" s="189"/>
      <c r="ID58" s="189"/>
      <c r="IE58" s="189"/>
      <c r="IF58" s="189"/>
      <c r="IG58" s="189"/>
      <c r="IH58" s="189"/>
      <c r="II58" s="189"/>
      <c r="IJ58" s="189"/>
      <c r="IK58" s="189"/>
      <c r="IL58" s="189"/>
      <c r="IM58" s="189"/>
      <c r="IN58" s="189"/>
      <c r="IO58" s="189"/>
      <c r="IP58" s="189"/>
      <c r="IQ58" s="189"/>
      <c r="IR58" s="189"/>
      <c r="IS58" s="189"/>
      <c r="IT58" s="189"/>
      <c r="IU58" s="189"/>
    </row>
    <row r="59" spans="1:255" s="40" customFormat="1" ht="36" x14ac:dyDescent="0.2">
      <c r="A59" s="199">
        <v>36</v>
      </c>
      <c r="B59" s="200" t="s">
        <v>97</v>
      </c>
      <c r="C59" s="200" t="s">
        <v>98</v>
      </c>
      <c r="D59" s="200" t="s">
        <v>99</v>
      </c>
      <c r="E59" s="201">
        <f t="shared" si="2"/>
        <v>26</v>
      </c>
      <c r="F59" s="202"/>
      <c r="G59" s="202"/>
      <c r="H59" s="203"/>
      <c r="I59" s="203"/>
      <c r="N59" s="189"/>
      <c r="O59" s="189">
        <f t="shared" si="3"/>
        <v>26</v>
      </c>
      <c r="P59" s="189">
        <f>Source!I37</f>
        <v>15</v>
      </c>
      <c r="Q59" s="189">
        <f>Source!I58</f>
        <v>11</v>
      </c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  <c r="DW59" s="189"/>
      <c r="DX59" s="189"/>
      <c r="DY59" s="189"/>
      <c r="DZ59" s="189"/>
      <c r="EA59" s="189"/>
      <c r="EB59" s="189"/>
      <c r="EC59" s="189"/>
      <c r="ED59" s="189"/>
      <c r="EE59" s="189"/>
      <c r="EF59" s="189"/>
      <c r="EG59" s="189"/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89"/>
      <c r="ES59" s="189"/>
      <c r="ET59" s="189"/>
      <c r="EU59" s="189"/>
      <c r="EV59" s="189"/>
      <c r="EW59" s="189"/>
      <c r="EX59" s="189"/>
      <c r="EY59" s="189"/>
      <c r="EZ59" s="189"/>
      <c r="FA59" s="189"/>
      <c r="FB59" s="189"/>
      <c r="FC59" s="189"/>
      <c r="FD59" s="189"/>
      <c r="FE59" s="189"/>
      <c r="FF59" s="189"/>
      <c r="FG59" s="189"/>
      <c r="FH59" s="189"/>
      <c r="FI59" s="189"/>
      <c r="FJ59" s="189"/>
      <c r="FK59" s="189"/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89"/>
      <c r="GK59" s="189"/>
      <c r="GL59" s="189"/>
      <c r="GM59" s="189"/>
      <c r="GN59" s="189"/>
      <c r="GO59" s="189"/>
      <c r="GP59" s="189"/>
      <c r="GQ59" s="189"/>
      <c r="GR59" s="189"/>
      <c r="GS59" s="189"/>
      <c r="GT59" s="189"/>
      <c r="GU59" s="189"/>
      <c r="GV59" s="189"/>
      <c r="GW59" s="189"/>
      <c r="GX59" s="189"/>
      <c r="GY59" s="189"/>
      <c r="GZ59" s="189"/>
      <c r="HA59" s="189"/>
      <c r="HB59" s="189"/>
      <c r="HC59" s="189"/>
      <c r="HD59" s="189"/>
      <c r="HE59" s="189"/>
      <c r="HF59" s="189"/>
      <c r="HG59" s="189"/>
      <c r="HH59" s="189"/>
      <c r="HI59" s="189"/>
      <c r="HJ59" s="189"/>
      <c r="HK59" s="189"/>
      <c r="HL59" s="189"/>
      <c r="HM59" s="189"/>
      <c r="HN59" s="189"/>
      <c r="HO59" s="189"/>
      <c r="HP59" s="189"/>
      <c r="HQ59" s="189"/>
      <c r="HR59" s="189"/>
      <c r="HS59" s="189"/>
      <c r="HT59" s="189"/>
      <c r="HU59" s="189"/>
      <c r="HV59" s="189"/>
      <c r="HW59" s="189"/>
      <c r="HX59" s="189"/>
      <c r="HY59" s="189"/>
      <c r="HZ59" s="189"/>
      <c r="IA59" s="189"/>
      <c r="IB59" s="189"/>
      <c r="IC59" s="189"/>
      <c r="ID59" s="189"/>
      <c r="IE59" s="189"/>
      <c r="IF59" s="189"/>
      <c r="IG59" s="189"/>
      <c r="IH59" s="189"/>
      <c r="II59" s="189"/>
      <c r="IJ59" s="189"/>
      <c r="IK59" s="189"/>
      <c r="IL59" s="189"/>
      <c r="IM59" s="189"/>
      <c r="IN59" s="189"/>
      <c r="IO59" s="189"/>
      <c r="IP59" s="189"/>
      <c r="IQ59" s="189"/>
      <c r="IR59" s="189"/>
      <c r="IS59" s="189"/>
      <c r="IT59" s="189"/>
      <c r="IU59" s="189"/>
    </row>
    <row r="60" spans="1:255" s="40" customFormat="1" ht="36" x14ac:dyDescent="0.2">
      <c r="A60" s="199">
        <v>37</v>
      </c>
      <c r="B60" s="200" t="s">
        <v>150</v>
      </c>
      <c r="C60" s="200" t="s">
        <v>151</v>
      </c>
      <c r="D60" s="200" t="s">
        <v>99</v>
      </c>
      <c r="E60" s="201">
        <f t="shared" si="2"/>
        <v>1</v>
      </c>
      <c r="F60" s="202"/>
      <c r="G60" s="202"/>
      <c r="H60" s="203"/>
      <c r="I60" s="203"/>
      <c r="N60" s="189"/>
      <c r="O60" s="189">
        <f t="shared" si="3"/>
        <v>1</v>
      </c>
      <c r="P60" s="189">
        <f>Source!I50</f>
        <v>1</v>
      </c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  <c r="IB60" s="189"/>
      <c r="IC60" s="189"/>
      <c r="ID60" s="189"/>
      <c r="IE60" s="189"/>
      <c r="IF60" s="189"/>
      <c r="IG60" s="189"/>
      <c r="IH60" s="189"/>
      <c r="II60" s="189"/>
      <c r="IJ60" s="189"/>
      <c r="IK60" s="189"/>
      <c r="IL60" s="189"/>
      <c r="IM60" s="189"/>
      <c r="IN60" s="189"/>
      <c r="IO60" s="189"/>
      <c r="IP60" s="189"/>
      <c r="IQ60" s="189"/>
      <c r="IR60" s="189"/>
      <c r="IS60" s="189"/>
      <c r="IT60" s="189"/>
      <c r="IU60" s="189"/>
    </row>
    <row r="61" spans="1:255" s="40" customFormat="1" ht="36" x14ac:dyDescent="0.2">
      <c r="A61" s="199">
        <v>38</v>
      </c>
      <c r="B61" s="200" t="s">
        <v>172</v>
      </c>
      <c r="C61" s="200" t="s">
        <v>173</v>
      </c>
      <c r="D61" s="200" t="s">
        <v>33</v>
      </c>
      <c r="E61" s="201">
        <f t="shared" si="2"/>
        <v>0.99</v>
      </c>
      <c r="F61" s="202"/>
      <c r="G61" s="202"/>
      <c r="H61" s="203"/>
      <c r="I61" s="203"/>
      <c r="N61" s="189"/>
      <c r="O61" s="189">
        <f t="shared" si="3"/>
        <v>0.99</v>
      </c>
      <c r="P61" s="189">
        <f>Source!I60</f>
        <v>0.99</v>
      </c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189"/>
      <c r="EU61" s="189"/>
      <c r="EV61" s="189"/>
      <c r="EW61" s="189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89"/>
      <c r="FK61" s="189"/>
      <c r="FL61" s="189"/>
      <c r="FM61" s="189"/>
      <c r="FN61" s="189"/>
      <c r="FO61" s="189"/>
      <c r="FP61" s="189"/>
      <c r="FQ61" s="189"/>
      <c r="FR61" s="189"/>
      <c r="FS61" s="189"/>
      <c r="FT61" s="189"/>
      <c r="FU61" s="189"/>
      <c r="FV61" s="189"/>
      <c r="FW61" s="189"/>
      <c r="FX61" s="189"/>
      <c r="FY61" s="189"/>
      <c r="FZ61" s="189"/>
      <c r="GA61" s="189"/>
      <c r="GB61" s="189"/>
      <c r="GC61" s="189"/>
      <c r="GD61" s="189"/>
      <c r="GE61" s="189"/>
      <c r="GF61" s="189"/>
      <c r="GG61" s="189"/>
      <c r="GH61" s="189"/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  <c r="IB61" s="189"/>
      <c r="IC61" s="189"/>
      <c r="ID61" s="189"/>
      <c r="IE61" s="189"/>
      <c r="IF61" s="189"/>
      <c r="IG61" s="189"/>
      <c r="IH61" s="189"/>
      <c r="II61" s="189"/>
      <c r="IJ61" s="189"/>
      <c r="IK61" s="189"/>
      <c r="IL61" s="189"/>
      <c r="IM61" s="189"/>
      <c r="IN61" s="189"/>
      <c r="IO61" s="189"/>
      <c r="IP61" s="189"/>
      <c r="IQ61" s="189"/>
      <c r="IR61" s="189"/>
      <c r="IS61" s="189"/>
      <c r="IT61" s="189"/>
      <c r="IU61" s="189"/>
    </row>
    <row r="62" spans="1:255" s="40" customFormat="1" ht="36" x14ac:dyDescent="0.2">
      <c r="A62" s="199">
        <v>39</v>
      </c>
      <c r="B62" s="200" t="s">
        <v>115</v>
      </c>
      <c r="C62" s="200" t="s">
        <v>116</v>
      </c>
      <c r="D62" s="200" t="s">
        <v>99</v>
      </c>
      <c r="E62" s="201">
        <f t="shared" si="2"/>
        <v>16</v>
      </c>
      <c r="F62" s="202"/>
      <c r="G62" s="202"/>
      <c r="H62" s="203"/>
      <c r="I62" s="203"/>
      <c r="N62" s="189"/>
      <c r="O62" s="189">
        <f t="shared" si="3"/>
        <v>16</v>
      </c>
      <c r="P62" s="189">
        <f>Source!I42</f>
        <v>15</v>
      </c>
      <c r="Q62" s="189">
        <f>Source!I51</f>
        <v>1</v>
      </c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  <c r="DV62" s="189"/>
      <c r="DW62" s="189"/>
      <c r="DX62" s="189"/>
      <c r="DY62" s="189"/>
      <c r="DZ62" s="189"/>
      <c r="EA62" s="189"/>
      <c r="EB62" s="189"/>
      <c r="EC62" s="189"/>
      <c r="ED62" s="189"/>
      <c r="EE62" s="189"/>
      <c r="EF62" s="189"/>
      <c r="EG62" s="189"/>
      <c r="EH62" s="189"/>
      <c r="EI62" s="189"/>
      <c r="EJ62" s="189"/>
      <c r="EK62" s="189"/>
      <c r="EL62" s="189"/>
      <c r="EM62" s="189"/>
      <c r="EN62" s="189"/>
      <c r="EO62" s="189"/>
      <c r="EP62" s="189"/>
      <c r="EQ62" s="189"/>
      <c r="ER62" s="189"/>
      <c r="ES62" s="189"/>
      <c r="ET62" s="189"/>
      <c r="EU62" s="189"/>
      <c r="EV62" s="189"/>
      <c r="EW62" s="189"/>
      <c r="EX62" s="189"/>
      <c r="EY62" s="189"/>
      <c r="EZ62" s="189"/>
      <c r="FA62" s="189"/>
      <c r="FB62" s="189"/>
      <c r="FC62" s="189"/>
      <c r="FD62" s="189"/>
      <c r="FE62" s="189"/>
      <c r="FF62" s="189"/>
      <c r="FG62" s="189"/>
      <c r="FH62" s="189"/>
      <c r="FI62" s="189"/>
      <c r="FJ62" s="189"/>
      <c r="FK62" s="189"/>
      <c r="FL62" s="189"/>
      <c r="FM62" s="189"/>
      <c r="FN62" s="189"/>
      <c r="FO62" s="189"/>
      <c r="FP62" s="189"/>
      <c r="FQ62" s="189"/>
      <c r="FR62" s="189"/>
      <c r="FS62" s="189"/>
      <c r="FT62" s="189"/>
      <c r="FU62" s="189"/>
      <c r="FV62" s="189"/>
      <c r="FW62" s="189"/>
      <c r="FX62" s="189"/>
      <c r="FY62" s="189"/>
      <c r="FZ62" s="189"/>
      <c r="GA62" s="189"/>
      <c r="GB62" s="189"/>
      <c r="GC62" s="189"/>
      <c r="GD62" s="189"/>
      <c r="GE62" s="189"/>
      <c r="GF62" s="189"/>
      <c r="GG62" s="189"/>
      <c r="GH62" s="189"/>
      <c r="GI62" s="189"/>
      <c r="GJ62" s="189"/>
      <c r="GK62" s="189"/>
      <c r="GL62" s="189"/>
      <c r="GM62" s="189"/>
      <c r="GN62" s="189"/>
      <c r="GO62" s="189"/>
      <c r="GP62" s="189"/>
      <c r="GQ62" s="189"/>
      <c r="GR62" s="189"/>
      <c r="GS62" s="189"/>
      <c r="GT62" s="189"/>
      <c r="GU62" s="189"/>
      <c r="GV62" s="189"/>
      <c r="GW62" s="189"/>
      <c r="GX62" s="189"/>
      <c r="GY62" s="189"/>
      <c r="GZ62" s="189"/>
      <c r="HA62" s="189"/>
      <c r="HB62" s="189"/>
      <c r="HC62" s="189"/>
      <c r="HD62" s="189"/>
      <c r="HE62" s="189"/>
      <c r="HF62" s="189"/>
      <c r="HG62" s="189"/>
      <c r="HH62" s="189"/>
      <c r="HI62" s="189"/>
      <c r="HJ62" s="189"/>
      <c r="HK62" s="189"/>
      <c r="HL62" s="189"/>
      <c r="HM62" s="189"/>
      <c r="HN62" s="189"/>
      <c r="HO62" s="189"/>
      <c r="HP62" s="189"/>
      <c r="HQ62" s="189"/>
      <c r="HR62" s="189"/>
      <c r="HS62" s="189"/>
      <c r="HT62" s="189"/>
      <c r="HU62" s="189"/>
      <c r="HV62" s="189"/>
      <c r="HW62" s="189"/>
      <c r="HX62" s="189"/>
      <c r="HY62" s="189"/>
      <c r="HZ62" s="189"/>
      <c r="IA62" s="189"/>
      <c r="IB62" s="189"/>
      <c r="IC62" s="189"/>
      <c r="ID62" s="189"/>
      <c r="IE62" s="189"/>
      <c r="IF62" s="189"/>
      <c r="IG62" s="189"/>
      <c r="IH62" s="189"/>
      <c r="II62" s="189"/>
      <c r="IJ62" s="189"/>
      <c r="IK62" s="189"/>
      <c r="IL62" s="189"/>
      <c r="IM62" s="189"/>
      <c r="IN62" s="189"/>
      <c r="IO62" s="189"/>
      <c r="IP62" s="189"/>
      <c r="IQ62" s="189"/>
      <c r="IR62" s="189"/>
      <c r="IS62" s="189"/>
      <c r="IT62" s="189"/>
      <c r="IU62" s="189"/>
    </row>
    <row r="63" spans="1:255" s="40" customFormat="1" ht="24" x14ac:dyDescent="0.2">
      <c r="A63" s="199">
        <v>40</v>
      </c>
      <c r="B63" s="200" t="s">
        <v>102</v>
      </c>
      <c r="C63" s="200" t="s">
        <v>103</v>
      </c>
      <c r="D63" s="200" t="s">
        <v>33</v>
      </c>
      <c r="E63" s="201">
        <f t="shared" si="2"/>
        <v>4.133</v>
      </c>
      <c r="F63" s="202"/>
      <c r="G63" s="202"/>
      <c r="H63" s="203"/>
      <c r="I63" s="203"/>
      <c r="N63" s="189"/>
      <c r="O63" s="189">
        <f t="shared" si="3"/>
        <v>4.133</v>
      </c>
      <c r="P63" s="189">
        <f>Source!I56</f>
        <v>1.7679999999999998</v>
      </c>
      <c r="Q63" s="189">
        <f>Source!I63</f>
        <v>2.3650000000000002</v>
      </c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  <c r="DV63" s="189"/>
      <c r="DW63" s="189"/>
      <c r="DX63" s="189"/>
      <c r="DY63" s="189"/>
      <c r="DZ63" s="189"/>
      <c r="EA63" s="189"/>
      <c r="EB63" s="189"/>
      <c r="EC63" s="189"/>
      <c r="ED63" s="189"/>
      <c r="EE63" s="189"/>
      <c r="EF63" s="189"/>
      <c r="EG63" s="189"/>
      <c r="EH63" s="189"/>
      <c r="EI63" s="189"/>
      <c r="EJ63" s="189"/>
      <c r="EK63" s="189"/>
      <c r="EL63" s="189"/>
      <c r="EM63" s="189"/>
      <c r="EN63" s="189"/>
      <c r="EO63" s="189"/>
      <c r="EP63" s="189"/>
      <c r="EQ63" s="189"/>
      <c r="ER63" s="189"/>
      <c r="ES63" s="189"/>
      <c r="ET63" s="189"/>
      <c r="EU63" s="189"/>
      <c r="EV63" s="189"/>
      <c r="EW63" s="189"/>
      <c r="EX63" s="189"/>
      <c r="EY63" s="189"/>
      <c r="EZ63" s="189"/>
      <c r="FA63" s="189"/>
      <c r="FB63" s="189"/>
      <c r="FC63" s="189"/>
      <c r="FD63" s="189"/>
      <c r="FE63" s="189"/>
      <c r="FF63" s="189"/>
      <c r="FG63" s="189"/>
      <c r="FH63" s="189"/>
      <c r="FI63" s="189"/>
      <c r="FJ63" s="189"/>
      <c r="FK63" s="189"/>
      <c r="FL63" s="189"/>
      <c r="FM63" s="189"/>
      <c r="FN63" s="189"/>
      <c r="FO63" s="189"/>
      <c r="FP63" s="189"/>
      <c r="FQ63" s="189"/>
      <c r="FR63" s="189"/>
      <c r="FS63" s="189"/>
      <c r="FT63" s="189"/>
      <c r="FU63" s="189"/>
      <c r="FV63" s="189"/>
      <c r="FW63" s="189"/>
      <c r="FX63" s="189"/>
      <c r="FY63" s="189"/>
      <c r="FZ63" s="189"/>
      <c r="GA63" s="189"/>
      <c r="GB63" s="189"/>
      <c r="GC63" s="189"/>
      <c r="GD63" s="189"/>
      <c r="GE63" s="189"/>
      <c r="GF63" s="189"/>
      <c r="GG63" s="189"/>
      <c r="GH63" s="189"/>
      <c r="GI63" s="189"/>
      <c r="GJ63" s="189"/>
      <c r="GK63" s="189"/>
      <c r="GL63" s="189"/>
      <c r="GM63" s="189"/>
      <c r="GN63" s="189"/>
      <c r="GO63" s="189"/>
      <c r="GP63" s="189"/>
      <c r="GQ63" s="189"/>
      <c r="GR63" s="189"/>
      <c r="GS63" s="189"/>
      <c r="GT63" s="189"/>
      <c r="GU63" s="189"/>
      <c r="GV63" s="189"/>
      <c r="GW63" s="189"/>
      <c r="GX63" s="189"/>
      <c r="GY63" s="189"/>
      <c r="GZ63" s="189"/>
      <c r="HA63" s="189"/>
      <c r="HB63" s="189"/>
      <c r="HC63" s="189"/>
      <c r="HD63" s="189"/>
      <c r="HE63" s="189"/>
      <c r="HF63" s="189"/>
      <c r="HG63" s="189"/>
      <c r="HH63" s="189"/>
      <c r="HI63" s="189"/>
      <c r="HJ63" s="189"/>
      <c r="HK63" s="189"/>
      <c r="HL63" s="189"/>
      <c r="HM63" s="189"/>
      <c r="HN63" s="189"/>
      <c r="HO63" s="189"/>
      <c r="HP63" s="189"/>
      <c r="HQ63" s="189"/>
      <c r="HR63" s="189"/>
      <c r="HS63" s="189"/>
      <c r="HT63" s="189"/>
      <c r="HU63" s="189"/>
      <c r="HV63" s="189"/>
      <c r="HW63" s="189"/>
      <c r="HX63" s="189"/>
      <c r="HY63" s="189"/>
      <c r="HZ63" s="189"/>
      <c r="IA63" s="189"/>
      <c r="IB63" s="189"/>
      <c r="IC63" s="189"/>
      <c r="ID63" s="189"/>
      <c r="IE63" s="189"/>
      <c r="IF63" s="189"/>
      <c r="IG63" s="189"/>
      <c r="IH63" s="189"/>
      <c r="II63" s="189"/>
      <c r="IJ63" s="189"/>
      <c r="IK63" s="189"/>
      <c r="IL63" s="189"/>
      <c r="IM63" s="189"/>
      <c r="IN63" s="189"/>
      <c r="IO63" s="189"/>
      <c r="IP63" s="189"/>
      <c r="IQ63" s="189"/>
      <c r="IR63" s="189"/>
      <c r="IS63" s="189"/>
      <c r="IT63" s="189"/>
      <c r="IU63" s="189"/>
    </row>
    <row r="64" spans="1:255" s="40" customFormat="1" ht="36" x14ac:dyDescent="0.2">
      <c r="A64" s="199">
        <v>41</v>
      </c>
      <c r="B64" s="200" t="s">
        <v>84</v>
      </c>
      <c r="C64" s="200" t="s">
        <v>85</v>
      </c>
      <c r="D64" s="200" t="s">
        <v>86</v>
      </c>
      <c r="E64" s="201">
        <f t="shared" si="2"/>
        <v>442</v>
      </c>
      <c r="F64" s="202"/>
      <c r="G64" s="202"/>
      <c r="H64" s="204"/>
      <c r="I64" s="204"/>
      <c r="N64" s="189"/>
      <c r="O64" s="189">
        <f t="shared" si="3"/>
        <v>442</v>
      </c>
      <c r="P64" s="189">
        <f>Source!I35</f>
        <v>442</v>
      </c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  <c r="DV64" s="189"/>
      <c r="DW64" s="189"/>
      <c r="DX64" s="189"/>
      <c r="DY64" s="189"/>
      <c r="DZ64" s="189"/>
      <c r="EA64" s="189"/>
      <c r="EB64" s="189"/>
      <c r="EC64" s="189"/>
      <c r="ED64" s="189"/>
      <c r="EE64" s="189"/>
      <c r="EF64" s="189"/>
      <c r="EG64" s="189"/>
      <c r="EH64" s="189"/>
      <c r="EI64" s="189"/>
      <c r="EJ64" s="189"/>
      <c r="EK64" s="189"/>
      <c r="EL64" s="189"/>
      <c r="EM64" s="189"/>
      <c r="EN64" s="189"/>
      <c r="EO64" s="189"/>
      <c r="EP64" s="189"/>
      <c r="EQ64" s="189"/>
      <c r="ER64" s="189"/>
      <c r="ES64" s="189"/>
      <c r="ET64" s="189"/>
      <c r="EU64" s="189"/>
      <c r="EV64" s="189"/>
      <c r="EW64" s="189"/>
      <c r="EX64" s="189"/>
      <c r="EY64" s="189"/>
      <c r="EZ64" s="189"/>
      <c r="FA64" s="189"/>
      <c r="FB64" s="189"/>
      <c r="FC64" s="189"/>
      <c r="FD64" s="189"/>
      <c r="FE64" s="189"/>
      <c r="FF64" s="189"/>
      <c r="FG64" s="189"/>
      <c r="FH64" s="189"/>
      <c r="FI64" s="189"/>
      <c r="FJ64" s="189"/>
      <c r="FK64" s="189"/>
      <c r="FL64" s="189"/>
      <c r="FM64" s="189"/>
      <c r="FN64" s="189"/>
      <c r="FO64" s="189"/>
      <c r="FP64" s="189"/>
      <c r="FQ64" s="189"/>
      <c r="FR64" s="189"/>
      <c r="FS64" s="189"/>
      <c r="FT64" s="189"/>
      <c r="FU64" s="189"/>
      <c r="FV64" s="189"/>
      <c r="FW64" s="189"/>
      <c r="FX64" s="189"/>
      <c r="FY64" s="189"/>
      <c r="FZ64" s="189"/>
      <c r="GA64" s="189"/>
      <c r="GB64" s="189"/>
      <c r="GC64" s="189"/>
      <c r="GD64" s="189"/>
      <c r="GE64" s="189"/>
      <c r="GF64" s="189"/>
      <c r="GG64" s="189"/>
      <c r="GH64" s="189"/>
      <c r="GI64" s="189"/>
      <c r="GJ64" s="189"/>
      <c r="GK64" s="189"/>
      <c r="GL64" s="189"/>
      <c r="GM64" s="189"/>
      <c r="GN64" s="189"/>
      <c r="GO64" s="189"/>
      <c r="GP64" s="189"/>
      <c r="GQ64" s="189"/>
      <c r="GR64" s="189"/>
      <c r="GS64" s="189"/>
      <c r="GT64" s="189"/>
      <c r="GU64" s="189"/>
      <c r="GV64" s="189"/>
      <c r="GW64" s="189"/>
      <c r="GX64" s="189"/>
      <c r="GY64" s="189"/>
      <c r="GZ64" s="189"/>
      <c r="HA64" s="189"/>
      <c r="HB64" s="189"/>
      <c r="HC64" s="189"/>
      <c r="HD64" s="189"/>
      <c r="HE64" s="189"/>
      <c r="HF64" s="189"/>
      <c r="HG64" s="189"/>
      <c r="HH64" s="189"/>
      <c r="HI64" s="189"/>
      <c r="HJ64" s="189"/>
      <c r="HK64" s="189"/>
      <c r="HL64" s="189"/>
      <c r="HM64" s="189"/>
      <c r="HN64" s="189"/>
      <c r="HO64" s="189"/>
      <c r="HP64" s="189"/>
      <c r="HQ64" s="189"/>
      <c r="HR64" s="189"/>
      <c r="HS64" s="189"/>
      <c r="HT64" s="189"/>
      <c r="HU64" s="189"/>
      <c r="HV64" s="189"/>
      <c r="HW64" s="189"/>
      <c r="HX64" s="189"/>
      <c r="HY64" s="189"/>
      <c r="HZ64" s="189"/>
      <c r="IA64" s="189"/>
      <c r="IB64" s="189"/>
      <c r="IC64" s="189"/>
      <c r="ID64" s="189"/>
      <c r="IE64" s="189"/>
      <c r="IF64" s="189"/>
      <c r="IG64" s="189"/>
      <c r="IH64" s="189"/>
      <c r="II64" s="189"/>
      <c r="IJ64" s="189"/>
      <c r="IK64" s="189"/>
      <c r="IL64" s="189"/>
      <c r="IM64" s="189"/>
      <c r="IN64" s="189"/>
      <c r="IO64" s="189"/>
      <c r="IP64" s="189"/>
      <c r="IQ64" s="189"/>
      <c r="IR64" s="189"/>
      <c r="IS64" s="189"/>
      <c r="IT64" s="189"/>
      <c r="IU64" s="189"/>
    </row>
    <row r="65" spans="1:255" s="40" customFormat="1" ht="12" x14ac:dyDescent="0.2">
      <c r="A65" s="199">
        <v>42</v>
      </c>
      <c r="B65" s="200" t="s">
        <v>84</v>
      </c>
      <c r="C65" s="200" t="s">
        <v>192</v>
      </c>
      <c r="D65" s="200" t="s">
        <v>193</v>
      </c>
      <c r="E65" s="201">
        <f t="shared" si="2"/>
        <v>1</v>
      </c>
      <c r="F65" s="202"/>
      <c r="G65" s="202"/>
      <c r="H65" s="204"/>
      <c r="I65" s="204"/>
      <c r="N65" s="189"/>
      <c r="O65" s="189">
        <f t="shared" si="3"/>
        <v>1</v>
      </c>
      <c r="P65" s="189">
        <f>Source!I65</f>
        <v>1</v>
      </c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9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189"/>
      <c r="GB65" s="189"/>
      <c r="GC65" s="189"/>
      <c r="GD65" s="189"/>
      <c r="GE65" s="189"/>
      <c r="GF65" s="189"/>
      <c r="GG65" s="189"/>
      <c r="GH65" s="189"/>
      <c r="GI65" s="189"/>
      <c r="GJ65" s="189"/>
      <c r="GK65" s="189"/>
      <c r="GL65" s="189"/>
      <c r="GM65" s="189"/>
      <c r="GN65" s="189"/>
      <c r="GO65" s="189"/>
      <c r="GP65" s="189"/>
      <c r="GQ65" s="189"/>
      <c r="GR65" s="189"/>
      <c r="GS65" s="189"/>
      <c r="GT65" s="189"/>
      <c r="GU65" s="189"/>
      <c r="GV65" s="189"/>
      <c r="GW65" s="189"/>
      <c r="GX65" s="189"/>
      <c r="GY65" s="189"/>
      <c r="GZ65" s="189"/>
      <c r="HA65" s="189"/>
      <c r="HB65" s="189"/>
      <c r="HC65" s="189"/>
      <c r="HD65" s="189"/>
      <c r="HE65" s="189"/>
      <c r="HF65" s="189"/>
      <c r="HG65" s="189"/>
      <c r="HH65" s="189"/>
      <c r="HI65" s="189"/>
      <c r="HJ65" s="189"/>
      <c r="HK65" s="189"/>
      <c r="HL65" s="189"/>
      <c r="HM65" s="189"/>
      <c r="HN65" s="189"/>
      <c r="HO65" s="189"/>
      <c r="HP65" s="189"/>
      <c r="HQ65" s="189"/>
      <c r="HR65" s="189"/>
      <c r="HS65" s="189"/>
      <c r="HT65" s="189"/>
      <c r="HU65" s="189"/>
      <c r="HV65" s="189"/>
      <c r="HW65" s="189"/>
      <c r="HX65" s="189"/>
      <c r="HY65" s="189"/>
      <c r="HZ65" s="189"/>
      <c r="IA65" s="189"/>
      <c r="IB65" s="189"/>
      <c r="IC65" s="189"/>
      <c r="ID65" s="189"/>
      <c r="IE65" s="189"/>
      <c r="IF65" s="189"/>
      <c r="IG65" s="189"/>
      <c r="IH65" s="189"/>
      <c r="II65" s="189"/>
      <c r="IJ65" s="189"/>
      <c r="IK65" s="189"/>
      <c r="IL65" s="189"/>
      <c r="IM65" s="189"/>
      <c r="IN65" s="189"/>
      <c r="IO65" s="189"/>
      <c r="IP65" s="189"/>
      <c r="IQ65" s="189"/>
      <c r="IR65" s="189"/>
      <c r="IS65" s="189"/>
      <c r="IT65" s="189"/>
      <c r="IU65" s="189"/>
    </row>
    <row r="66" spans="1:255" x14ac:dyDescent="0.2">
      <c r="A66" s="192"/>
      <c r="B66" s="192"/>
      <c r="C66" s="193" t="s">
        <v>640</v>
      </c>
      <c r="D66" s="192"/>
      <c r="E66" s="192"/>
      <c r="F66" s="192"/>
      <c r="G66" s="194"/>
      <c r="H66" s="192"/>
      <c r="I66" s="192"/>
      <c r="J66" s="21"/>
      <c r="K66" s="21"/>
      <c r="L66" s="21"/>
      <c r="M66" s="177">
        <f>G66</f>
        <v>0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</row>
    <row r="68" spans="1:255" x14ac:dyDescent="0.2">
      <c r="C68" s="190" t="s">
        <v>270</v>
      </c>
      <c r="G68" s="191"/>
    </row>
    <row r="71" spans="1:255" ht="22.5" x14ac:dyDescent="0.2">
      <c r="A71" s="163" t="s">
        <v>655</v>
      </c>
      <c r="B71" s="163"/>
      <c r="C71" s="181" t="s">
        <v>656</v>
      </c>
      <c r="D71" s="164"/>
      <c r="E71" s="164"/>
      <c r="F71" s="223" t="s">
        <v>657</v>
      </c>
      <c r="G71" s="223"/>
      <c r="BY71" s="165" t="str">
        <f>C71</f>
        <v>Ведущий инженер-сметчик ООО "ОДСК-Инжиниринг"</v>
      </c>
      <c r="BZ71" s="165" t="str">
        <f>F71</f>
        <v>Мамаева Е.М.</v>
      </c>
      <c r="IU71" s="21"/>
    </row>
    <row r="72" spans="1:255" s="206" customFormat="1" ht="11.25" x14ac:dyDescent="0.2">
      <c r="A72" s="205"/>
      <c r="B72" s="205"/>
      <c r="C72" s="224" t="s">
        <v>651</v>
      </c>
      <c r="D72" s="224"/>
      <c r="E72" s="224"/>
      <c r="F72" s="224" t="s">
        <v>652</v>
      </c>
      <c r="G72" s="224"/>
    </row>
    <row r="73" spans="1:255" x14ac:dyDescent="0.2">
      <c r="A73" s="16"/>
      <c r="B73" s="16"/>
      <c r="C73" s="16"/>
      <c r="D73" s="9" t="s">
        <v>653</v>
      </c>
      <c r="E73" s="16"/>
      <c r="F73" s="16"/>
      <c r="G73" s="16"/>
    </row>
    <row r="74" spans="1:255" ht="22.5" x14ac:dyDescent="0.2">
      <c r="A74" s="163" t="s">
        <v>658</v>
      </c>
      <c r="B74" s="163"/>
      <c r="C74" s="181" t="s">
        <v>659</v>
      </c>
      <c r="D74" s="164"/>
      <c r="E74" s="164"/>
      <c r="F74" s="223" t="s">
        <v>660</v>
      </c>
      <c r="G74" s="223"/>
      <c r="BY74" s="165" t="str">
        <f>C74</f>
        <v>Главный инженер-сметчик ООО "ОДСК-Инжиниринг"</v>
      </c>
      <c r="BZ74" s="165" t="str">
        <f>F74</f>
        <v>Кузнецова У.И.</v>
      </c>
      <c r="IU74" s="21"/>
    </row>
    <row r="75" spans="1:255" s="206" customFormat="1" ht="11.25" x14ac:dyDescent="0.2">
      <c r="A75" s="205"/>
      <c r="B75" s="205"/>
      <c r="C75" s="224" t="s">
        <v>651</v>
      </c>
      <c r="D75" s="224"/>
      <c r="E75" s="224"/>
      <c r="F75" s="224" t="s">
        <v>652</v>
      </c>
      <c r="G75" s="224"/>
    </row>
    <row r="76" spans="1:255" x14ac:dyDescent="0.2">
      <c r="A76" s="16"/>
      <c r="B76" s="16"/>
      <c r="C76" s="16"/>
      <c r="D76" s="9" t="s">
        <v>653</v>
      </c>
      <c r="E76" s="16"/>
      <c r="F76" s="16"/>
      <c r="G76" s="16"/>
    </row>
    <row r="77" spans="1:255" x14ac:dyDescent="0.2">
      <c r="A77" s="163" t="s">
        <v>536</v>
      </c>
      <c r="B77" s="163"/>
      <c r="C77" s="181" t="s">
        <v>667</v>
      </c>
      <c r="D77" s="164"/>
      <c r="E77" s="164"/>
      <c r="F77" s="223" t="s">
        <v>661</v>
      </c>
      <c r="G77" s="223"/>
      <c r="BY77" s="165" t="str">
        <f>C77</f>
        <v>Руководитель ПТС ООО "ОСУ-2"</v>
      </c>
      <c r="BZ77" s="165" t="str">
        <f>F77</f>
        <v>Когтев В.И.</v>
      </c>
      <c r="IU77" s="21"/>
    </row>
    <row r="78" spans="1:255" s="206" customFormat="1" ht="11.25" x14ac:dyDescent="0.2">
      <c r="A78" s="205"/>
      <c r="B78" s="205"/>
      <c r="C78" s="224" t="s">
        <v>651</v>
      </c>
      <c r="D78" s="224"/>
      <c r="E78" s="224"/>
      <c r="F78" s="224" t="s">
        <v>652</v>
      </c>
      <c r="G78" s="224"/>
    </row>
    <row r="79" spans="1:255" x14ac:dyDescent="0.2">
      <c r="A79" s="16"/>
      <c r="B79" s="16"/>
      <c r="C79" s="16"/>
      <c r="D79" s="9" t="s">
        <v>653</v>
      </c>
      <c r="E79" s="16"/>
      <c r="F79" s="16"/>
      <c r="G79" s="16"/>
    </row>
  </sheetData>
  <sortState ref="A47:IU65">
    <sortCondition ref="C47"/>
    <sortCondition ref="D47"/>
  </sortState>
  <mergeCells count="21"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  <mergeCell ref="F77:G77"/>
    <mergeCell ref="C78:E78"/>
    <mergeCell ref="F78:G78"/>
    <mergeCell ref="F71:G71"/>
    <mergeCell ref="C72:E72"/>
    <mergeCell ref="F72:G72"/>
    <mergeCell ref="F74:G74"/>
    <mergeCell ref="C75:E75"/>
    <mergeCell ref="F75:G75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9"/>
  <sheetViews>
    <sheetView topLeftCell="A291" zoomScale="164" zoomScaleNormal="164" workbookViewId="0">
      <selection activeCell="E295" sqref="E295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51.7109375" customWidth="1"/>
    <col min="4" max="4" width="9.7109375" customWidth="1"/>
    <col min="5" max="5" width="7.7109375" customWidth="1"/>
    <col min="6" max="7" width="10.7109375" customWidth="1"/>
    <col min="16" max="69" width="0" hidden="1" customWidth="1"/>
    <col min="70" max="71" width="52.7109375" hidden="1" customWidth="1"/>
    <col min="72" max="72" width="88.7109375" hidden="1" customWidth="1"/>
    <col min="73" max="74" width="108.7109375" hidden="1" customWidth="1"/>
    <col min="75" max="75" width="21.7109375" hidden="1" customWidth="1"/>
    <col min="76" max="76" width="0" hidden="1" customWidth="1"/>
    <col min="77" max="77" width="52.7109375" hidden="1" customWidth="1"/>
    <col min="78" max="78" width="21.7109375" hidden="1" customWidth="1"/>
    <col min="79" max="256" width="0" hidden="1" customWidth="1"/>
  </cols>
  <sheetData>
    <row r="1" spans="1:255" s="13" customFormat="1" ht="11.25" x14ac:dyDescent="0.2">
      <c r="A1" s="13" t="s">
        <v>526</v>
      </c>
    </row>
    <row r="2" spans="1:255" hidden="1" outlineLevel="1" x14ac:dyDescent="0.2">
      <c r="D2" s="269" t="s">
        <v>527</v>
      </c>
      <c r="E2" s="269"/>
      <c r="F2" s="269"/>
      <c r="G2" s="269"/>
    </row>
    <row r="3" spans="1:255" hidden="1" outlineLevel="1" x14ac:dyDescent="0.2">
      <c r="D3" s="269" t="s">
        <v>528</v>
      </c>
      <c r="E3" s="269"/>
      <c r="F3" s="269"/>
      <c r="G3" s="269"/>
    </row>
    <row r="4" spans="1:255" hidden="1" outlineLevel="1" x14ac:dyDescent="0.2">
      <c r="D4" s="269" t="s">
        <v>529</v>
      </c>
      <c r="E4" s="269"/>
      <c r="F4" s="269"/>
      <c r="G4" s="269"/>
    </row>
    <row r="5" spans="1:255" s="12" customFormat="1" ht="11.25" hidden="1" outlineLevel="1" x14ac:dyDescent="0.2">
      <c r="F5" s="270" t="s">
        <v>530</v>
      </c>
      <c r="G5" s="271"/>
    </row>
    <row r="6" spans="1:255" s="14" customFormat="1" ht="9.75" hidden="1" outlineLevel="1" x14ac:dyDescent="0.2">
      <c r="E6" s="15" t="s">
        <v>531</v>
      </c>
      <c r="F6" s="272" t="s">
        <v>532</v>
      </c>
      <c r="G6" s="273"/>
    </row>
    <row r="7" spans="1:255" hidden="1" outlineLevel="1" x14ac:dyDescent="0.2">
      <c r="A7" s="19" t="s">
        <v>533</v>
      </c>
      <c r="B7" s="17"/>
      <c r="C7" s="168"/>
      <c r="E7" s="15" t="s">
        <v>534</v>
      </c>
      <c r="F7" s="267"/>
      <c r="G7" s="274"/>
      <c r="BR7" s="20">
        <f>C7</f>
        <v>0</v>
      </c>
      <c r="IU7" s="21"/>
    </row>
    <row r="8" spans="1:255" hidden="1" outlineLevel="1" x14ac:dyDescent="0.2">
      <c r="A8" s="19" t="s">
        <v>535</v>
      </c>
      <c r="B8" s="17"/>
      <c r="C8" s="169"/>
      <c r="E8" s="15" t="s">
        <v>534</v>
      </c>
      <c r="F8" s="267"/>
      <c r="G8" s="274"/>
      <c r="BR8" s="20">
        <f>C8</f>
        <v>0</v>
      </c>
      <c r="IU8" s="21"/>
    </row>
    <row r="9" spans="1:255" hidden="1" outlineLevel="1" x14ac:dyDescent="0.2">
      <c r="A9" s="19" t="s">
        <v>536</v>
      </c>
      <c r="B9" s="17"/>
      <c r="C9" s="169"/>
      <c r="E9" s="15" t="s">
        <v>534</v>
      </c>
      <c r="F9" s="267"/>
      <c r="G9" s="274"/>
      <c r="BR9" s="20">
        <f>C9</f>
        <v>0</v>
      </c>
      <c r="IU9" s="21"/>
    </row>
    <row r="10" spans="1:255" hidden="1" outlineLevel="1" x14ac:dyDescent="0.2">
      <c r="A10" s="19" t="s">
        <v>537</v>
      </c>
      <c r="B10" s="17"/>
      <c r="C10" s="169"/>
      <c r="E10" s="15" t="s">
        <v>534</v>
      </c>
      <c r="F10" s="267"/>
      <c r="G10" s="274"/>
      <c r="BR10" s="20">
        <f>C10</f>
        <v>0</v>
      </c>
      <c r="IU10" s="21"/>
    </row>
    <row r="11" spans="1:255" ht="63.75" hidden="1" outlineLevel="1" x14ac:dyDescent="0.2">
      <c r="A11" s="19" t="s">
        <v>538</v>
      </c>
      <c r="C11" s="170" t="s">
        <v>4</v>
      </c>
      <c r="F11" s="267"/>
      <c r="G11" s="268"/>
      <c r="BS11" s="24" t="str">
        <f>C11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1" s="21"/>
    </row>
    <row r="12" spans="1:255" ht="63.75" hidden="1" outlineLevel="1" x14ac:dyDescent="0.2">
      <c r="A12" s="19" t="s">
        <v>539</v>
      </c>
      <c r="C12" s="170" t="s">
        <v>4</v>
      </c>
      <c r="F12" s="267"/>
      <c r="G12" s="268"/>
      <c r="BS12" s="24" t="str">
        <f>C12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2" s="21"/>
    </row>
    <row r="13" spans="1:255" ht="25.5" hidden="1" outlineLevel="1" x14ac:dyDescent="0.2">
      <c r="A13" s="19" t="s">
        <v>540</v>
      </c>
      <c r="C13" s="171" t="s">
        <v>541</v>
      </c>
      <c r="E13" s="15" t="s">
        <v>542</v>
      </c>
      <c r="F13" s="267"/>
      <c r="G13" s="268"/>
      <c r="BS13" s="25" t="str">
        <f>C13</f>
        <v xml:space="preserve"> 6.3.5   Устройство внутриплощ. наружных сетей ливневой канализации П</v>
      </c>
      <c r="IU13" s="21"/>
    </row>
    <row r="14" spans="1:255" hidden="1" outlineLevel="1" x14ac:dyDescent="0.2">
      <c r="C14" s="254" t="s">
        <v>543</v>
      </c>
      <c r="D14" s="254"/>
      <c r="E14" s="26" t="s">
        <v>544</v>
      </c>
      <c r="F14" s="255"/>
      <c r="G14" s="256"/>
      <c r="BW14" s="28">
        <f>F14</f>
        <v>0</v>
      </c>
      <c r="IU14" s="21"/>
    </row>
    <row r="15" spans="1:255" hidden="1" outlineLevel="1" x14ac:dyDescent="0.2">
      <c r="E15" s="27" t="s">
        <v>545</v>
      </c>
      <c r="F15" s="257"/>
      <c r="G15" s="258"/>
    </row>
    <row r="16" spans="1:255" s="14" customFormat="1" ht="11.25" hidden="1" outlineLevel="1" x14ac:dyDescent="0.2">
      <c r="E16" s="15" t="s">
        <v>546</v>
      </c>
      <c r="F16" s="259"/>
      <c r="G16" s="260"/>
    </row>
    <row r="17" spans="1:255" hidden="1" outlineLevel="1" x14ac:dyDescent="0.2"/>
    <row r="18" spans="1:255" hidden="1" outlineLevel="1" x14ac:dyDescent="0.2">
      <c r="D18" s="261" t="s">
        <v>547</v>
      </c>
      <c r="E18" s="261" t="s">
        <v>548</v>
      </c>
      <c r="F18" s="263" t="s">
        <v>549</v>
      </c>
      <c r="G18" s="264"/>
    </row>
    <row r="19" spans="1:255" ht="13.5" hidden="1" outlineLevel="1" thickBot="1" x14ac:dyDescent="0.25">
      <c r="D19" s="262"/>
      <c r="E19" s="262"/>
      <c r="F19" s="32" t="s">
        <v>550</v>
      </c>
      <c r="G19" s="33" t="s">
        <v>551</v>
      </c>
    </row>
    <row r="20" spans="1:255" ht="19.5" hidden="1" outlineLevel="1" thickBot="1" x14ac:dyDescent="0.35">
      <c r="C20" s="172" t="s">
        <v>552</v>
      </c>
      <c r="D20" s="35"/>
      <c r="E20" s="36"/>
      <c r="F20" s="37"/>
      <c r="G20" s="38"/>
    </row>
    <row r="21" spans="1:255" ht="15.75" hidden="1" outlineLevel="1" x14ac:dyDescent="0.25">
      <c r="C21" s="173" t="s">
        <v>553</v>
      </c>
    </row>
    <row r="22" spans="1:255" hidden="1" outlineLevel="1" x14ac:dyDescent="0.2">
      <c r="C22" s="174"/>
    </row>
    <row r="23" spans="1:255" hidden="1" outlineLevel="1" x14ac:dyDescent="0.2">
      <c r="C23" s="175" t="s">
        <v>15</v>
      </c>
      <c r="BU23" s="20">
        <f>A23</f>
        <v>0</v>
      </c>
      <c r="IU23" s="21"/>
    </row>
    <row r="24" spans="1:255" hidden="1" outlineLevel="1" x14ac:dyDescent="0.2">
      <c r="A24" s="14" t="s">
        <v>554</v>
      </c>
    </row>
    <row r="25" spans="1:255" hidden="1" outlineLevel="1" x14ac:dyDescent="0.2">
      <c r="A25" s="14" t="s">
        <v>555</v>
      </c>
    </row>
    <row r="26" spans="1:255" hidden="1" outlineLevel="1" x14ac:dyDescent="0.2">
      <c r="A26" s="14" t="s">
        <v>556</v>
      </c>
      <c r="B26" s="14"/>
      <c r="C26" s="14"/>
      <c r="D26" s="14"/>
      <c r="E26" s="265" t="e">
        <f>G295/1000</f>
        <v>#REF!</v>
      </c>
      <c r="F26" s="265"/>
      <c r="G26" s="14" t="s">
        <v>557</v>
      </c>
    </row>
    <row r="27" spans="1:255" collapsed="1" x14ac:dyDescent="0.2"/>
    <row r="28" spans="1:255" outlineLevel="1" x14ac:dyDescent="0.2">
      <c r="G28" s="39" t="s">
        <v>665</v>
      </c>
    </row>
    <row r="29" spans="1:255" ht="36" outlineLevel="1" x14ac:dyDescent="0.2">
      <c r="A29" s="19" t="s">
        <v>538</v>
      </c>
      <c r="C29" s="246" t="s">
        <v>4</v>
      </c>
      <c r="D29" s="246"/>
      <c r="E29" s="246"/>
      <c r="F29" s="246"/>
      <c r="G29" s="246"/>
      <c r="BT29" s="41" t="str">
        <f>C29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29" s="21"/>
    </row>
    <row r="30" spans="1:255" ht="36" outlineLevel="1" x14ac:dyDescent="0.2">
      <c r="A30" s="19" t="s">
        <v>539</v>
      </c>
      <c r="C30" s="246" t="s">
        <v>4</v>
      </c>
      <c r="D30" s="246"/>
      <c r="E30" s="246"/>
      <c r="F30" s="246"/>
      <c r="G30" s="246"/>
      <c r="BT30" s="41" t="str">
        <f>C30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30" s="21"/>
    </row>
    <row r="31" spans="1:255" outlineLevel="1" x14ac:dyDescent="0.2">
      <c r="A31" s="19" t="s">
        <v>540</v>
      </c>
      <c r="C31" s="266" t="s">
        <v>558</v>
      </c>
      <c r="D31" s="246"/>
      <c r="E31" s="246"/>
      <c r="F31" s="246"/>
      <c r="G31" s="246"/>
      <c r="BT31" s="42" t="str">
        <f>C31</f>
        <v xml:space="preserve"> 6.3.5   Устройство внутриплощ. наружных сетей ливневой канализации П </v>
      </c>
      <c r="IU31" s="21"/>
    </row>
    <row r="32" spans="1:255" outlineLevel="1" x14ac:dyDescent="0.2"/>
    <row r="33" spans="1:255" ht="18.75" outlineLevel="1" x14ac:dyDescent="0.3">
      <c r="A33" s="241" t="s">
        <v>559</v>
      </c>
      <c r="B33" s="241"/>
      <c r="C33" s="241"/>
      <c r="D33" s="241"/>
      <c r="E33" s="241"/>
      <c r="F33" s="241"/>
      <c r="G33" s="241"/>
    </row>
    <row r="34" spans="1:255" outlineLevel="1" x14ac:dyDescent="0.2">
      <c r="A34" s="253" t="s">
        <v>15</v>
      </c>
      <c r="B34" s="253"/>
      <c r="C34" s="253"/>
      <c r="D34" s="253"/>
      <c r="E34" s="253"/>
      <c r="F34" s="253"/>
      <c r="G34" s="253"/>
      <c r="BV34" s="24" t="str">
        <f>A34</f>
        <v>Наружные сети ливневой канализации К-2</v>
      </c>
      <c r="IU34" s="21"/>
    </row>
    <row r="35" spans="1:255" outlineLevel="1" x14ac:dyDescent="0.2">
      <c r="A35" s="19" t="s">
        <v>560</v>
      </c>
      <c r="C35" s="246"/>
      <c r="D35" s="246"/>
      <c r="E35" s="246"/>
      <c r="F35" s="246"/>
      <c r="G35" s="246"/>
      <c r="BT35" s="41">
        <f>C35</f>
        <v>0</v>
      </c>
      <c r="IU35" s="21"/>
    </row>
    <row r="36" spans="1:255" outlineLevel="1" x14ac:dyDescent="0.2">
      <c r="E36" s="43"/>
      <c r="F36" s="43" t="s">
        <v>561</v>
      </c>
    </row>
    <row r="37" spans="1:255" outlineLevel="1" x14ac:dyDescent="0.2">
      <c r="D37" s="34" t="s">
        <v>562</v>
      </c>
      <c r="E37" s="44"/>
      <c r="F37" s="44" t="e">
        <f>G295/1000</f>
        <v>#REF!</v>
      </c>
      <c r="G37" s="34" t="s">
        <v>563</v>
      </c>
    </row>
    <row r="38" spans="1:255" outlineLevel="1" x14ac:dyDescent="0.2">
      <c r="D38" s="14" t="s">
        <v>564</v>
      </c>
      <c r="E38" s="45"/>
      <c r="F38" s="45" t="e">
        <f>(Source!S73)/1000</f>
        <v>#REF!</v>
      </c>
      <c r="G38" s="14" t="s">
        <v>563</v>
      </c>
    </row>
    <row r="39" spans="1:255" outlineLevel="1" x14ac:dyDescent="0.2">
      <c r="D39" s="14" t="s">
        <v>565</v>
      </c>
      <c r="E39" s="45"/>
      <c r="F39" s="45">
        <f>Source!U73</f>
        <v>1298.145164</v>
      </c>
      <c r="G39" s="14" t="s">
        <v>566</v>
      </c>
    </row>
    <row r="40" spans="1:255" outlineLevel="1" x14ac:dyDescent="0.2">
      <c r="A40" s="14" t="s">
        <v>567</v>
      </c>
    </row>
    <row r="41" spans="1:255" ht="13.5" outlineLevel="1" thickBot="1" x14ac:dyDescent="0.25">
      <c r="A41" s="14" t="s">
        <v>555</v>
      </c>
    </row>
    <row r="42" spans="1:255" x14ac:dyDescent="0.2">
      <c r="A42" s="247" t="s">
        <v>568</v>
      </c>
      <c r="B42" s="249" t="s">
        <v>569</v>
      </c>
      <c r="C42" s="249" t="s">
        <v>570</v>
      </c>
      <c r="D42" s="249" t="s">
        <v>571</v>
      </c>
      <c r="E42" s="249" t="s">
        <v>572</v>
      </c>
      <c r="F42" s="249" t="s">
        <v>666</v>
      </c>
      <c r="G42" s="251" t="s">
        <v>573</v>
      </c>
    </row>
    <row r="43" spans="1:255" x14ac:dyDescent="0.2">
      <c r="A43" s="248"/>
      <c r="B43" s="250"/>
      <c r="C43" s="250"/>
      <c r="D43" s="250"/>
      <c r="E43" s="250"/>
      <c r="F43" s="250"/>
      <c r="G43" s="252"/>
    </row>
    <row r="44" spans="1:255" x14ac:dyDescent="0.2">
      <c r="A44" s="248"/>
      <c r="B44" s="250"/>
      <c r="C44" s="250"/>
      <c r="D44" s="250"/>
      <c r="E44" s="250"/>
      <c r="F44" s="250"/>
      <c r="G44" s="252"/>
    </row>
    <row r="45" spans="1:255" ht="13.5" thickBot="1" x14ac:dyDescent="0.25">
      <c r="A45" s="248"/>
      <c r="B45" s="250"/>
      <c r="C45" s="250"/>
      <c r="D45" s="250"/>
      <c r="E45" s="250"/>
      <c r="F45" s="250"/>
      <c r="G45" s="252"/>
    </row>
    <row r="46" spans="1:255" ht="13.5" thickBot="1" x14ac:dyDescent="0.25">
      <c r="A46" s="46">
        <v>1</v>
      </c>
      <c r="B46" s="46">
        <v>2</v>
      </c>
      <c r="C46" s="46">
        <v>3</v>
      </c>
      <c r="D46" s="46">
        <v>4</v>
      </c>
      <c r="E46" s="46">
        <v>5</v>
      </c>
      <c r="F46" s="46">
        <v>6</v>
      </c>
      <c r="G46" s="46">
        <v>7</v>
      </c>
    </row>
    <row r="47" spans="1:255" ht="36" x14ac:dyDescent="0.2">
      <c r="A47" s="47">
        <v>1</v>
      </c>
      <c r="B47" s="53" t="s">
        <v>17</v>
      </c>
      <c r="C47" s="48" t="s">
        <v>577</v>
      </c>
      <c r="D47" s="49" t="s">
        <v>19</v>
      </c>
      <c r="E47" s="50">
        <v>1.3260000000000001</v>
      </c>
      <c r="F47" s="51" t="e">
        <f>IF(E47&gt;0,ROUND((Source!O24+Source!X24+Source!Y24)/E47,2),0)</f>
        <v>#REF!</v>
      </c>
      <c r="G47" s="52" t="e">
        <f>SUM(DS47:DS57)</f>
        <v>#REF!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</row>
    <row r="48" spans="1:255" x14ac:dyDescent="0.2">
      <c r="A48" s="55"/>
      <c r="B48" s="57" t="str">
        <f>IF(Source!I24=1.326," Расчет объема","")</f>
        <v xml:space="preserve"> Расчет объема</v>
      </c>
      <c r="C48" s="57" t="str">
        <f>IF(Source!I24=1.326,"   1326/1000 = 1,326","")</f>
        <v xml:space="preserve">   1326/1000 = 1,326</v>
      </c>
      <c r="D48" s="54"/>
      <c r="E48" s="54"/>
      <c r="F48" s="54"/>
      <c r="G48" s="56"/>
    </row>
    <row r="49" spans="1:255" x14ac:dyDescent="0.2">
      <c r="A49" s="61"/>
      <c r="B49" s="62"/>
      <c r="C49" s="62" t="s">
        <v>578</v>
      </c>
      <c r="D49" s="63"/>
      <c r="E49" s="64"/>
      <c r="F49" s="65" t="e">
        <f>DI49</f>
        <v>#REF!</v>
      </c>
      <c r="G49" s="66" t="e">
        <f>U49</f>
        <v>#REF!</v>
      </c>
      <c r="O49" s="21"/>
      <c r="P49" s="21"/>
      <c r="Q49" s="21"/>
      <c r="R49" s="21"/>
      <c r="S49" s="21"/>
      <c r="T49" s="21"/>
      <c r="U49" s="21" t="e">
        <f>Source!S24</f>
        <v>#REF!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 t="e">
        <f>Source!S24</f>
        <v>#REF!</v>
      </c>
      <c r="DH49" s="21">
        <v>1</v>
      </c>
      <c r="DI49" s="21" t="e">
        <f>IF(E47&gt;0,ROUND(Source!S24/E47,2),0)</f>
        <v>#REF!</v>
      </c>
      <c r="DJ49" s="21"/>
      <c r="DK49" s="21"/>
      <c r="DL49" s="21"/>
      <c r="DM49" s="21"/>
      <c r="DN49" s="21"/>
      <c r="DO49" s="21"/>
      <c r="DP49" s="21"/>
      <c r="DQ49" s="21"/>
      <c r="DR49" s="21" t="e">
        <f>DI49</f>
        <v>#REF!</v>
      </c>
      <c r="DS49" s="21" t="e">
        <f>U49</f>
        <v>#REF!</v>
      </c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</row>
    <row r="50" spans="1:255" x14ac:dyDescent="0.2">
      <c r="A50" s="61"/>
      <c r="B50" s="62"/>
      <c r="C50" s="62" t="s">
        <v>579</v>
      </c>
      <c r="D50" s="63"/>
      <c r="E50" s="64"/>
      <c r="F50" s="65" t="e">
        <f>DI50</f>
        <v>#REF!</v>
      </c>
      <c r="G50" s="66" t="e">
        <f>U50</f>
        <v>#REF!</v>
      </c>
      <c r="O50" s="21"/>
      <c r="P50" s="21"/>
      <c r="Q50" s="21"/>
      <c r="R50" s="21"/>
      <c r="S50" s="21"/>
      <c r="T50" s="21"/>
      <c r="U50" s="21" t="e">
        <f>Source!Q24</f>
        <v>#REF!</v>
      </c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 t="e">
        <f>IF(E47&gt;0,ROUND(Source!Q24/E47,2),0)</f>
        <v>#REF!</v>
      </c>
      <c r="DJ50" s="21"/>
      <c r="DK50" s="21"/>
      <c r="DL50" s="21"/>
      <c r="DM50" s="21"/>
      <c r="DN50" s="21"/>
      <c r="DO50" s="21"/>
      <c r="DP50" s="21"/>
      <c r="DQ50" s="21"/>
      <c r="DR50" s="21" t="e">
        <f>DI50</f>
        <v>#REF!</v>
      </c>
      <c r="DS50" s="21" t="e">
        <f>U50</f>
        <v>#REF!</v>
      </c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</row>
    <row r="51" spans="1:255" x14ac:dyDescent="0.2">
      <c r="A51" s="61"/>
      <c r="B51" s="62"/>
      <c r="C51" s="62" t="s">
        <v>580</v>
      </c>
      <c r="D51" s="63"/>
      <c r="E51" s="64"/>
      <c r="F51" s="65" t="e">
        <f>IF(E47&gt;0,ROUND(Source!R24/E47,2),0)</f>
        <v>#REF!</v>
      </c>
      <c r="G51" s="66" t="e">
        <f>Source!R24</f>
        <v>#REF!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</row>
    <row r="52" spans="1:255" x14ac:dyDescent="0.2">
      <c r="A52" s="61"/>
      <c r="B52" s="62"/>
      <c r="C52" s="62" t="s">
        <v>581</v>
      </c>
      <c r="D52" s="63"/>
      <c r="E52" s="64"/>
      <c r="F52" s="65" t="e">
        <f>DI52</f>
        <v>#REF!</v>
      </c>
      <c r="G52" s="66" t="e">
        <f>U52</f>
        <v>#REF!</v>
      </c>
      <c r="O52" s="21"/>
      <c r="P52" s="21"/>
      <c r="Q52" s="21"/>
      <c r="R52" s="21"/>
      <c r="S52" s="21"/>
      <c r="T52" s="21"/>
      <c r="U52" s="21" t="e">
        <f>Source!P24</f>
        <v>#REF!</v>
      </c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 t="e">
        <f>IF(E47&gt;0,ROUND(Source!P24/E47,2),0)</f>
        <v>#REF!</v>
      </c>
      <c r="DJ52" s="21"/>
      <c r="DK52" s="21"/>
      <c r="DL52" s="21" t="e">
        <f>DI52</f>
        <v>#REF!</v>
      </c>
      <c r="DM52" s="21" t="e">
        <f>U52</f>
        <v>#REF!</v>
      </c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</row>
    <row r="53" spans="1:255" x14ac:dyDescent="0.2">
      <c r="A53" s="68"/>
      <c r="B53" s="69"/>
      <c r="C53" s="69" t="s">
        <v>582</v>
      </c>
      <c r="D53" s="70" t="s">
        <v>583</v>
      </c>
      <c r="E53" s="71">
        <v>92</v>
      </c>
      <c r="F53" s="72" t="e">
        <f>DI53</f>
        <v>#REF!</v>
      </c>
      <c r="G53" s="73" t="e">
        <f>U53</f>
        <v>#REF!</v>
      </c>
      <c r="O53" s="21"/>
      <c r="P53" s="21"/>
      <c r="Q53" s="21"/>
      <c r="R53" s="21"/>
      <c r="S53" s="21"/>
      <c r="T53" s="21"/>
      <c r="U53" s="21" t="e">
        <f>Source!X24</f>
        <v>#REF!</v>
      </c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 t="e">
        <f>IF(E47&gt;0,ROUND(Source!X24/E47,2),0)</f>
        <v>#REF!</v>
      </c>
      <c r="DJ53" s="21"/>
      <c r="DK53" s="21"/>
      <c r="DL53" s="21"/>
      <c r="DM53" s="21"/>
      <c r="DN53" s="21"/>
      <c r="DO53" s="21"/>
      <c r="DP53" s="21"/>
      <c r="DQ53" s="21"/>
      <c r="DR53" s="21" t="e">
        <f>DI53</f>
        <v>#REF!</v>
      </c>
      <c r="DS53" s="21" t="e">
        <f>U53</f>
        <v>#REF!</v>
      </c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</row>
    <row r="54" spans="1:255" x14ac:dyDescent="0.2">
      <c r="A54" s="68"/>
      <c r="B54" s="69"/>
      <c r="C54" s="69" t="s">
        <v>584</v>
      </c>
      <c r="D54" s="70" t="s">
        <v>583</v>
      </c>
      <c r="E54" s="71">
        <v>46</v>
      </c>
      <c r="F54" s="72" t="e">
        <f>DI54</f>
        <v>#REF!</v>
      </c>
      <c r="G54" s="73" t="e">
        <f>U54</f>
        <v>#REF!</v>
      </c>
      <c r="O54" s="21"/>
      <c r="P54" s="21"/>
      <c r="Q54" s="21"/>
      <c r="R54" s="21"/>
      <c r="S54" s="21"/>
      <c r="T54" s="21"/>
      <c r="U54" s="21" t="e">
        <f>Source!Y24</f>
        <v>#REF!</v>
      </c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 t="e">
        <f>IF(E47&gt;0,ROUND(Source!Y24/E47,2),0)</f>
        <v>#REF!</v>
      </c>
      <c r="DJ54" s="21"/>
      <c r="DK54" s="21"/>
      <c r="DL54" s="21"/>
      <c r="DM54" s="21"/>
      <c r="DN54" s="21"/>
      <c r="DO54" s="21"/>
      <c r="DP54" s="21"/>
      <c r="DQ54" s="21"/>
      <c r="DR54" s="21" t="e">
        <f>DI54</f>
        <v>#REF!</v>
      </c>
      <c r="DS54" s="21" t="e">
        <f>U54</f>
        <v>#REF!</v>
      </c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</row>
    <row r="55" spans="1:255" x14ac:dyDescent="0.2">
      <c r="A55" s="61"/>
      <c r="B55" s="62"/>
      <c r="C55" s="62" t="s">
        <v>585</v>
      </c>
      <c r="D55" s="63" t="s">
        <v>586</v>
      </c>
      <c r="E55" s="64">
        <v>9.84</v>
      </c>
      <c r="F55" s="65"/>
      <c r="G55" s="176">
        <f>Source!U24</f>
        <v>14.352624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</row>
    <row r="56" spans="1:255" x14ac:dyDescent="0.2">
      <c r="A56" s="77" t="s">
        <v>30</v>
      </c>
      <c r="B56" s="83" t="s">
        <v>31</v>
      </c>
      <c r="C56" s="78" t="s">
        <v>32</v>
      </c>
      <c r="D56" s="79" t="s">
        <v>33</v>
      </c>
      <c r="E56" s="80">
        <f>Source!I25</f>
        <v>-5.3039999999999997E-2</v>
      </c>
      <c r="F56" s="81" t="e">
        <f>DI56</f>
        <v>#REF!</v>
      </c>
      <c r="G56" s="82" t="e">
        <f>U56</f>
        <v>#REF!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 t="e">
        <f>Source!P25</f>
        <v>#REF!</v>
      </c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 t="e">
        <f>IF(E47&gt;0,ROUND(Source!P25/E47,2),0)</f>
        <v>#REF!</v>
      </c>
      <c r="DJ56" s="21"/>
      <c r="DK56" s="21"/>
      <c r="DL56" s="177" t="e">
        <f>F56</f>
        <v>#REF!</v>
      </c>
      <c r="DM56" s="21" t="e">
        <f>Source!P25</f>
        <v>#REF!</v>
      </c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</row>
    <row r="57" spans="1:255" ht="13.5" thickBot="1" x14ac:dyDescent="0.25">
      <c r="A57" s="89"/>
      <c r="B57" s="90"/>
      <c r="C57" s="90" t="s">
        <v>587</v>
      </c>
      <c r="D57" s="90"/>
      <c r="E57" s="90"/>
      <c r="F57" s="178" t="e">
        <f>SUM(DL47:DL56)</f>
        <v>#REF!</v>
      </c>
      <c r="G57" s="179" t="e">
        <f>SUM(DM47:DM56)</f>
        <v>#REF!</v>
      </c>
      <c r="H57" s="84"/>
      <c r="I57" s="84"/>
      <c r="J57" s="84"/>
      <c r="K57" s="84"/>
      <c r="L57" s="84"/>
      <c r="M57" s="84"/>
      <c r="N57" s="84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</row>
    <row r="58" spans="1:255" x14ac:dyDescent="0.2">
      <c r="A58" s="86"/>
      <c r="B58" s="85"/>
      <c r="C58" s="85" t="s">
        <v>588</v>
      </c>
      <c r="D58" s="85"/>
      <c r="E58" s="85"/>
      <c r="F58" s="87" t="e">
        <f>SUM(DI47:DI57)</f>
        <v>#REF!</v>
      </c>
      <c r="G58" s="88" t="e">
        <f>S58</f>
        <v>#REF!</v>
      </c>
      <c r="O58" s="21"/>
      <c r="P58" s="21"/>
      <c r="Q58" s="21"/>
      <c r="R58" s="21"/>
      <c r="S58" s="21" t="e">
        <f>SUM(U47:U57)</f>
        <v>#REF!</v>
      </c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</row>
    <row r="59" spans="1:255" x14ac:dyDescent="0.2">
      <c r="A59" s="59"/>
      <c r="B59" s="58"/>
      <c r="C59" s="58"/>
      <c r="D59" s="58"/>
      <c r="E59" s="58"/>
      <c r="F59" s="58"/>
      <c r="G59" s="60"/>
    </row>
    <row r="60" spans="1:255" ht="36" x14ac:dyDescent="0.2">
      <c r="A60" s="91">
        <v>2</v>
      </c>
      <c r="B60" s="97" t="s">
        <v>17</v>
      </c>
      <c r="C60" s="92" t="s">
        <v>39</v>
      </c>
      <c r="D60" s="93" t="s">
        <v>19</v>
      </c>
      <c r="E60" s="94">
        <v>1.3260000000000001</v>
      </c>
      <c r="F60" s="95" t="e">
        <f>IF(E60&gt;0,ROUND((Source!O26+Source!X26+Source!Y26)/E60,2),0)</f>
        <v>#REF!</v>
      </c>
      <c r="G60" s="96" t="e">
        <f>SUM(DS60:DS70)</f>
        <v>#REF!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</row>
    <row r="61" spans="1:255" x14ac:dyDescent="0.2">
      <c r="A61" s="55"/>
      <c r="B61" s="57" t="str">
        <f>IF(Source!I26=1.326," Расчет объема","")</f>
        <v xml:space="preserve"> Расчет объема</v>
      </c>
      <c r="C61" s="57" t="str">
        <f>IF(Source!I26=1.326,"   1326/1000 = 1,326","")</f>
        <v xml:space="preserve">   1326/1000 = 1,326</v>
      </c>
      <c r="D61" s="54"/>
      <c r="E61" s="54"/>
      <c r="F61" s="54"/>
      <c r="G61" s="56"/>
    </row>
    <row r="62" spans="1:255" x14ac:dyDescent="0.2">
      <c r="A62" s="61"/>
      <c r="B62" s="62"/>
      <c r="C62" s="62" t="s">
        <v>578</v>
      </c>
      <c r="D62" s="63"/>
      <c r="E62" s="64"/>
      <c r="F62" s="65" t="e">
        <f>DI62</f>
        <v>#REF!</v>
      </c>
      <c r="G62" s="66" t="e">
        <f>U62</f>
        <v>#REF!</v>
      </c>
      <c r="O62" s="21"/>
      <c r="P62" s="21"/>
      <c r="Q62" s="21"/>
      <c r="R62" s="21"/>
      <c r="S62" s="21"/>
      <c r="T62" s="21"/>
      <c r="U62" s="21" t="e">
        <f>Source!S26</f>
        <v>#REF!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 t="e">
        <f>Source!S26</f>
        <v>#REF!</v>
      </c>
      <c r="DH62" s="21">
        <v>1</v>
      </c>
      <c r="DI62" s="21" t="e">
        <f>IF(E60&gt;0,ROUND(Source!S26/E60,2),0)</f>
        <v>#REF!</v>
      </c>
      <c r="DJ62" s="21"/>
      <c r="DK62" s="21"/>
      <c r="DL62" s="21"/>
      <c r="DM62" s="21"/>
      <c r="DN62" s="21"/>
      <c r="DO62" s="21"/>
      <c r="DP62" s="21"/>
      <c r="DQ62" s="21"/>
      <c r="DR62" s="21" t="e">
        <f>DI62</f>
        <v>#REF!</v>
      </c>
      <c r="DS62" s="21" t="e">
        <f>U62</f>
        <v>#REF!</v>
      </c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</row>
    <row r="63" spans="1:255" x14ac:dyDescent="0.2">
      <c r="A63" s="61"/>
      <c r="B63" s="62"/>
      <c r="C63" s="62" t="s">
        <v>579</v>
      </c>
      <c r="D63" s="63"/>
      <c r="E63" s="64"/>
      <c r="F63" s="65" t="e">
        <f>DI63</f>
        <v>#REF!</v>
      </c>
      <c r="G63" s="66" t="e">
        <f>U63</f>
        <v>#REF!</v>
      </c>
      <c r="O63" s="21"/>
      <c r="P63" s="21"/>
      <c r="Q63" s="21"/>
      <c r="R63" s="21"/>
      <c r="S63" s="21"/>
      <c r="T63" s="21"/>
      <c r="U63" s="21" t="e">
        <f>Source!Q26</f>
        <v>#REF!</v>
      </c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 t="e">
        <f>IF(E60&gt;0,ROUND(Source!Q26/E60,2),0)</f>
        <v>#REF!</v>
      </c>
      <c r="DJ63" s="21"/>
      <c r="DK63" s="21"/>
      <c r="DL63" s="21"/>
      <c r="DM63" s="21"/>
      <c r="DN63" s="21"/>
      <c r="DO63" s="21"/>
      <c r="DP63" s="21"/>
      <c r="DQ63" s="21"/>
      <c r="DR63" s="21" t="e">
        <f>DI63</f>
        <v>#REF!</v>
      </c>
      <c r="DS63" s="21" t="e">
        <f>U63</f>
        <v>#REF!</v>
      </c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</row>
    <row r="64" spans="1:255" x14ac:dyDescent="0.2">
      <c r="A64" s="61"/>
      <c r="B64" s="62"/>
      <c r="C64" s="62" t="s">
        <v>580</v>
      </c>
      <c r="D64" s="63"/>
      <c r="E64" s="64"/>
      <c r="F64" s="65" t="e">
        <f>IF(E60&gt;0,ROUND(Source!R26/E60,2),0)</f>
        <v>#REF!</v>
      </c>
      <c r="G64" s="66" t="e">
        <f>Source!R26</f>
        <v>#REF!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</row>
    <row r="65" spans="1:255" x14ac:dyDescent="0.2">
      <c r="A65" s="61"/>
      <c r="B65" s="62"/>
      <c r="C65" s="62" t="s">
        <v>581</v>
      </c>
      <c r="D65" s="63"/>
      <c r="E65" s="64"/>
      <c r="F65" s="65" t="e">
        <f>DI65</f>
        <v>#REF!</v>
      </c>
      <c r="G65" s="66" t="e">
        <f>U65</f>
        <v>#REF!</v>
      </c>
      <c r="O65" s="21"/>
      <c r="P65" s="21"/>
      <c r="Q65" s="21"/>
      <c r="R65" s="21"/>
      <c r="S65" s="21"/>
      <c r="T65" s="21"/>
      <c r="U65" s="21" t="e">
        <f>Source!P26</f>
        <v>#REF!</v>
      </c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 t="e">
        <f>IF(E60&gt;0,ROUND(Source!P26/E60,2),0)</f>
        <v>#REF!</v>
      </c>
      <c r="DJ65" s="21"/>
      <c r="DK65" s="21"/>
      <c r="DL65" s="21" t="e">
        <f>DI65</f>
        <v>#REF!</v>
      </c>
      <c r="DM65" s="21" t="e">
        <f>U65</f>
        <v>#REF!</v>
      </c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</row>
    <row r="66" spans="1:255" x14ac:dyDescent="0.2">
      <c r="A66" s="68"/>
      <c r="B66" s="69"/>
      <c r="C66" s="69" t="s">
        <v>582</v>
      </c>
      <c r="D66" s="70" t="s">
        <v>583</v>
      </c>
      <c r="E66" s="71">
        <v>92</v>
      </c>
      <c r="F66" s="72" t="e">
        <f>DI66</f>
        <v>#REF!</v>
      </c>
      <c r="G66" s="73" t="e">
        <f>U66</f>
        <v>#REF!</v>
      </c>
      <c r="O66" s="21"/>
      <c r="P66" s="21"/>
      <c r="Q66" s="21"/>
      <c r="R66" s="21"/>
      <c r="S66" s="21"/>
      <c r="T66" s="21"/>
      <c r="U66" s="21" t="e">
        <f>Source!X26</f>
        <v>#REF!</v>
      </c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 t="e">
        <f>IF(E60&gt;0,ROUND(Source!X26/E60,2),0)</f>
        <v>#REF!</v>
      </c>
      <c r="DJ66" s="21"/>
      <c r="DK66" s="21"/>
      <c r="DL66" s="21"/>
      <c r="DM66" s="21"/>
      <c r="DN66" s="21"/>
      <c r="DO66" s="21"/>
      <c r="DP66" s="21"/>
      <c r="DQ66" s="21"/>
      <c r="DR66" s="21" t="e">
        <f>DI66</f>
        <v>#REF!</v>
      </c>
      <c r="DS66" s="21" t="e">
        <f>U66</f>
        <v>#REF!</v>
      </c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</row>
    <row r="67" spans="1:255" x14ac:dyDescent="0.2">
      <c r="A67" s="68"/>
      <c r="B67" s="69"/>
      <c r="C67" s="69" t="s">
        <v>584</v>
      </c>
      <c r="D67" s="70" t="s">
        <v>583</v>
      </c>
      <c r="E67" s="71">
        <v>46</v>
      </c>
      <c r="F67" s="72" t="e">
        <f>DI67</f>
        <v>#REF!</v>
      </c>
      <c r="G67" s="73" t="e">
        <f>U67</f>
        <v>#REF!</v>
      </c>
      <c r="O67" s="21"/>
      <c r="P67" s="21"/>
      <c r="Q67" s="21"/>
      <c r="R67" s="21"/>
      <c r="S67" s="21"/>
      <c r="T67" s="21"/>
      <c r="U67" s="21" t="e">
        <f>Source!Y26</f>
        <v>#REF!</v>
      </c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 t="e">
        <f>IF(E60&gt;0,ROUND(Source!Y26/E60,2),0)</f>
        <v>#REF!</v>
      </c>
      <c r="DJ67" s="21"/>
      <c r="DK67" s="21"/>
      <c r="DL67" s="21"/>
      <c r="DM67" s="21"/>
      <c r="DN67" s="21"/>
      <c r="DO67" s="21"/>
      <c r="DP67" s="21"/>
      <c r="DQ67" s="21"/>
      <c r="DR67" s="21" t="e">
        <f>DI67</f>
        <v>#REF!</v>
      </c>
      <c r="DS67" s="21" t="e">
        <f>U67</f>
        <v>#REF!</v>
      </c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</row>
    <row r="68" spans="1:255" x14ac:dyDescent="0.2">
      <c r="A68" s="61"/>
      <c r="B68" s="62"/>
      <c r="C68" s="62" t="s">
        <v>585</v>
      </c>
      <c r="D68" s="63" t="s">
        <v>586</v>
      </c>
      <c r="E68" s="64">
        <v>9.84</v>
      </c>
      <c r="F68" s="65"/>
      <c r="G68" s="176">
        <f>Source!U26</f>
        <v>13.047840000000001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</row>
    <row r="69" spans="1:255" x14ac:dyDescent="0.2">
      <c r="A69" s="77" t="s">
        <v>40</v>
      </c>
      <c r="B69" s="83" t="s">
        <v>31</v>
      </c>
      <c r="C69" s="78" t="s">
        <v>32</v>
      </c>
      <c r="D69" s="79" t="s">
        <v>33</v>
      </c>
      <c r="E69" s="80">
        <f>Source!I27</f>
        <v>-5.3039999999999997E-2</v>
      </c>
      <c r="F69" s="81" t="e">
        <f>DI69</f>
        <v>#REF!</v>
      </c>
      <c r="G69" s="82" t="e">
        <f>U69</f>
        <v>#REF!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 t="e">
        <f>Source!P27</f>
        <v>#REF!</v>
      </c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 t="e">
        <f>IF(E60&gt;0,ROUND(Source!P27/E60,2),0)</f>
        <v>#REF!</v>
      </c>
      <c r="DJ69" s="21"/>
      <c r="DK69" s="21"/>
      <c r="DL69" s="177" t="e">
        <f>F69</f>
        <v>#REF!</v>
      </c>
      <c r="DM69" s="21" t="e">
        <f>Source!P27</f>
        <v>#REF!</v>
      </c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</row>
    <row r="70" spans="1:255" ht="13.5" thickBot="1" x14ac:dyDescent="0.25">
      <c r="A70" s="89"/>
      <c r="B70" s="90"/>
      <c r="C70" s="90" t="s">
        <v>587</v>
      </c>
      <c r="D70" s="90"/>
      <c r="E70" s="90"/>
      <c r="F70" s="178" t="e">
        <f>SUM(DL60:DL69)</f>
        <v>#REF!</v>
      </c>
      <c r="G70" s="179" t="e">
        <f>SUM(DM60:DM69)</f>
        <v>#REF!</v>
      </c>
      <c r="H70" s="84"/>
      <c r="I70" s="84"/>
      <c r="J70" s="84"/>
      <c r="K70" s="84"/>
      <c r="L70" s="84"/>
      <c r="M70" s="84"/>
      <c r="N70" s="84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</row>
    <row r="71" spans="1:255" x14ac:dyDescent="0.2">
      <c r="A71" s="86"/>
      <c r="B71" s="85"/>
      <c r="C71" s="85" t="s">
        <v>588</v>
      </c>
      <c r="D71" s="85"/>
      <c r="E71" s="85"/>
      <c r="F71" s="87" t="e">
        <f>SUM(DI60:DI70)</f>
        <v>#REF!</v>
      </c>
      <c r="G71" s="88" t="e">
        <f>S71</f>
        <v>#REF!</v>
      </c>
      <c r="O71" s="21"/>
      <c r="P71" s="21"/>
      <c r="Q71" s="21"/>
      <c r="R71" s="21"/>
      <c r="S71" s="21" t="e">
        <f>SUM(U60:U70)</f>
        <v>#REF!</v>
      </c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</row>
    <row r="72" spans="1:255" x14ac:dyDescent="0.2">
      <c r="A72" s="59"/>
      <c r="B72" s="58"/>
      <c r="C72" s="58"/>
      <c r="D72" s="58"/>
      <c r="E72" s="58"/>
      <c r="F72" s="58"/>
      <c r="G72" s="60"/>
    </row>
    <row r="73" spans="1:255" ht="36" x14ac:dyDescent="0.2">
      <c r="A73" s="91">
        <v>3</v>
      </c>
      <c r="B73" s="97" t="s">
        <v>42</v>
      </c>
      <c r="C73" s="92" t="s">
        <v>43</v>
      </c>
      <c r="D73" s="93" t="s">
        <v>44</v>
      </c>
      <c r="E73" s="94">
        <v>2320.5</v>
      </c>
      <c r="F73" s="95" t="e">
        <f>IF(E73&gt;0,ROUND((Source!HD28)/E73,2),0)</f>
        <v>#REF!</v>
      </c>
      <c r="G73" s="96">
        <f>SUM(DS73:DS74)</f>
        <v>0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 t="e">
        <f>ROUND(Source!HD28,2)</f>
        <v>#REF!</v>
      </c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 t="e">
        <f>U73</f>
        <v>#REF!</v>
      </c>
      <c r="DE73" s="21"/>
      <c r="DF73" s="21"/>
      <c r="DG73" s="21"/>
      <c r="DH73" s="21"/>
      <c r="DI73" s="177" t="e">
        <f>F73</f>
        <v>#REF!</v>
      </c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</row>
    <row r="74" spans="1:255" ht="13.5" thickBot="1" x14ac:dyDescent="0.25">
      <c r="A74" s="98"/>
      <c r="B74" s="99" t="str">
        <f>IF(Source!I28=2320.5," Расчет объема","")</f>
        <v xml:space="preserve"> Расчет объема</v>
      </c>
      <c r="C74" s="99" t="str">
        <f>IF(Source!I28=2320.5,"   1,326*1750 = 2320,5","")</f>
        <v xml:space="preserve">   1,326*1750 = 2320,5</v>
      </c>
      <c r="D74" s="100"/>
      <c r="E74" s="100"/>
      <c r="F74" s="100"/>
      <c r="G74" s="101"/>
    </row>
    <row r="75" spans="1:255" x14ac:dyDescent="0.2">
      <c r="A75" s="86"/>
      <c r="B75" s="85"/>
      <c r="C75" s="85" t="s">
        <v>588</v>
      </c>
      <c r="D75" s="85"/>
      <c r="E75" s="85"/>
      <c r="F75" s="87" t="e">
        <f>SUM(DI73:DI74)</f>
        <v>#REF!</v>
      </c>
      <c r="G75" s="88" t="e">
        <f>S75</f>
        <v>#REF!</v>
      </c>
      <c r="O75" s="21"/>
      <c r="P75" s="21"/>
      <c r="Q75" s="21"/>
      <c r="R75" s="21"/>
      <c r="S75" s="21" t="e">
        <f>SUM(U73:U74)</f>
        <v>#REF!</v>
      </c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</row>
    <row r="76" spans="1:255" x14ac:dyDescent="0.2">
      <c r="A76" s="59"/>
      <c r="B76" s="58"/>
      <c r="C76" s="58"/>
      <c r="D76" s="58"/>
      <c r="E76" s="58"/>
      <c r="F76" s="58"/>
      <c r="G76" s="60"/>
    </row>
    <row r="77" spans="1:255" x14ac:dyDescent="0.2">
      <c r="A77" s="91">
        <v>4</v>
      </c>
      <c r="B77" s="97" t="s">
        <v>51</v>
      </c>
      <c r="C77" s="92" t="s">
        <v>52</v>
      </c>
      <c r="D77" s="93" t="s">
        <v>19</v>
      </c>
      <c r="E77" s="94">
        <v>1.3260000000000001</v>
      </c>
      <c r="F77" s="95" t="e">
        <f>IF(E77&gt;0,ROUND((Source!O29+Source!X29+Source!Y29)/E77,2),0)</f>
        <v>#REF!</v>
      </c>
      <c r="G77" s="96" t="e">
        <f>SUM(DS77:DS86)</f>
        <v>#REF!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</row>
    <row r="78" spans="1:255" x14ac:dyDescent="0.2">
      <c r="A78" s="102"/>
      <c r="B78" s="103"/>
      <c r="C78" s="103" t="s">
        <v>578</v>
      </c>
      <c r="D78" s="104"/>
      <c r="E78" s="105"/>
      <c r="F78" s="106" t="e">
        <f>DI78</f>
        <v>#REF!</v>
      </c>
      <c r="G78" s="107" t="e">
        <f>U78</f>
        <v>#REF!</v>
      </c>
      <c r="O78" s="21"/>
      <c r="P78" s="21"/>
      <c r="Q78" s="21"/>
      <c r="R78" s="21"/>
      <c r="S78" s="21"/>
      <c r="T78" s="21"/>
      <c r="U78" s="21" t="e">
        <f>Source!S29</f>
        <v>#REF!</v>
      </c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 t="e">
        <f>Source!S29</f>
        <v>#REF!</v>
      </c>
      <c r="DH78" s="21">
        <v>1</v>
      </c>
      <c r="DI78" s="21" t="e">
        <f>IF(E77&gt;0,ROUND(Source!S29/E77,2),0)</f>
        <v>#REF!</v>
      </c>
      <c r="DJ78" s="21"/>
      <c r="DK78" s="21"/>
      <c r="DL78" s="21"/>
      <c r="DM78" s="21"/>
      <c r="DN78" s="21"/>
      <c r="DO78" s="21"/>
      <c r="DP78" s="21"/>
      <c r="DQ78" s="21"/>
      <c r="DR78" s="21" t="e">
        <f>DI78</f>
        <v>#REF!</v>
      </c>
      <c r="DS78" s="21" t="e">
        <f>U78</f>
        <v>#REF!</v>
      </c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</row>
    <row r="79" spans="1:255" x14ac:dyDescent="0.2">
      <c r="A79" s="61"/>
      <c r="B79" s="62"/>
      <c r="C79" s="62" t="s">
        <v>579</v>
      </c>
      <c r="D79" s="63"/>
      <c r="E79" s="64"/>
      <c r="F79" s="65" t="e">
        <f>DI79</f>
        <v>#REF!</v>
      </c>
      <c r="G79" s="66" t="e">
        <f>U79</f>
        <v>#REF!</v>
      </c>
      <c r="O79" s="21"/>
      <c r="P79" s="21"/>
      <c r="Q79" s="21"/>
      <c r="R79" s="21"/>
      <c r="S79" s="21"/>
      <c r="T79" s="21"/>
      <c r="U79" s="21" t="e">
        <f>Source!Q29</f>
        <v>#REF!</v>
      </c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 t="e">
        <f>IF(E77&gt;0,ROUND(Source!Q29/E77,2),0)</f>
        <v>#REF!</v>
      </c>
      <c r="DJ79" s="21"/>
      <c r="DK79" s="21"/>
      <c r="DL79" s="21"/>
      <c r="DM79" s="21"/>
      <c r="DN79" s="21"/>
      <c r="DO79" s="21"/>
      <c r="DP79" s="21"/>
      <c r="DQ79" s="21"/>
      <c r="DR79" s="21" t="e">
        <f>DI79</f>
        <v>#REF!</v>
      </c>
      <c r="DS79" s="21" t="e">
        <f>U79</f>
        <v>#REF!</v>
      </c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</row>
    <row r="80" spans="1:255" x14ac:dyDescent="0.2">
      <c r="A80" s="61"/>
      <c r="B80" s="62"/>
      <c r="C80" s="62" t="s">
        <v>580</v>
      </c>
      <c r="D80" s="63"/>
      <c r="E80" s="64"/>
      <c r="F80" s="65" t="e">
        <f>IF(E77&gt;0,ROUND(Source!R29/E77,2),0)</f>
        <v>#REF!</v>
      </c>
      <c r="G80" s="66" t="e">
        <f>Source!R29</f>
        <v>#REF!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</row>
    <row r="81" spans="1:255" x14ac:dyDescent="0.2">
      <c r="A81" s="61"/>
      <c r="B81" s="62"/>
      <c r="C81" s="62" t="s">
        <v>581</v>
      </c>
      <c r="D81" s="63"/>
      <c r="E81" s="64"/>
      <c r="F81" s="65" t="e">
        <f>DI81</f>
        <v>#REF!</v>
      </c>
      <c r="G81" s="66" t="e">
        <f>U81</f>
        <v>#REF!</v>
      </c>
      <c r="O81" s="21"/>
      <c r="P81" s="21"/>
      <c r="Q81" s="21"/>
      <c r="R81" s="21"/>
      <c r="S81" s="21"/>
      <c r="T81" s="21"/>
      <c r="U81" s="21" t="e">
        <f>Source!P29</f>
        <v>#REF!</v>
      </c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 t="e">
        <f>IF(E77&gt;0,ROUND(Source!P29/E77,2),0)</f>
        <v>#REF!</v>
      </c>
      <c r="DJ81" s="21"/>
      <c r="DK81" s="21"/>
      <c r="DL81" s="21" t="e">
        <f>DI81</f>
        <v>#REF!</v>
      </c>
      <c r="DM81" s="21" t="e">
        <f>U81</f>
        <v>#REF!</v>
      </c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</row>
    <row r="82" spans="1:255" x14ac:dyDescent="0.2">
      <c r="A82" s="68"/>
      <c r="B82" s="69"/>
      <c r="C82" s="69" t="s">
        <v>582</v>
      </c>
      <c r="D82" s="70" t="s">
        <v>583</v>
      </c>
      <c r="E82" s="71">
        <v>92</v>
      </c>
      <c r="F82" s="72" t="e">
        <f>DI82</f>
        <v>#REF!</v>
      </c>
      <c r="G82" s="73" t="e">
        <f>U82</f>
        <v>#REF!</v>
      </c>
      <c r="O82" s="21"/>
      <c r="P82" s="21"/>
      <c r="Q82" s="21"/>
      <c r="R82" s="21"/>
      <c r="S82" s="21"/>
      <c r="T82" s="21"/>
      <c r="U82" s="21" t="e">
        <f>Source!X29</f>
        <v>#REF!</v>
      </c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 t="e">
        <f>IF(E77&gt;0,ROUND(Source!X29/E77,2),0)</f>
        <v>#REF!</v>
      </c>
      <c r="DJ82" s="21"/>
      <c r="DK82" s="21"/>
      <c r="DL82" s="21"/>
      <c r="DM82" s="21"/>
      <c r="DN82" s="21"/>
      <c r="DO82" s="21"/>
      <c r="DP82" s="21"/>
      <c r="DQ82" s="21"/>
      <c r="DR82" s="21" t="e">
        <f>DI82</f>
        <v>#REF!</v>
      </c>
      <c r="DS82" s="21" t="e">
        <f>U82</f>
        <v>#REF!</v>
      </c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</row>
    <row r="83" spans="1:255" x14ac:dyDescent="0.2">
      <c r="A83" s="68"/>
      <c r="B83" s="69"/>
      <c r="C83" s="69" t="s">
        <v>584</v>
      </c>
      <c r="D83" s="70" t="s">
        <v>583</v>
      </c>
      <c r="E83" s="71">
        <v>46</v>
      </c>
      <c r="F83" s="72" t="e">
        <f>DI83</f>
        <v>#REF!</v>
      </c>
      <c r="G83" s="73" t="e">
        <f>U83</f>
        <v>#REF!</v>
      </c>
      <c r="O83" s="21"/>
      <c r="P83" s="21"/>
      <c r="Q83" s="21"/>
      <c r="R83" s="21"/>
      <c r="S83" s="21"/>
      <c r="T83" s="21"/>
      <c r="U83" s="21" t="e">
        <f>Source!Y29</f>
        <v>#REF!</v>
      </c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 t="e">
        <f>IF(E77&gt;0,ROUND(Source!Y29/E77,2),0)</f>
        <v>#REF!</v>
      </c>
      <c r="DJ83" s="21"/>
      <c r="DK83" s="21"/>
      <c r="DL83" s="21"/>
      <c r="DM83" s="21"/>
      <c r="DN83" s="21"/>
      <c r="DO83" s="21"/>
      <c r="DP83" s="21"/>
      <c r="DQ83" s="21"/>
      <c r="DR83" s="21" t="e">
        <f>DI83</f>
        <v>#REF!</v>
      </c>
      <c r="DS83" s="21" t="e">
        <f>U83</f>
        <v>#REF!</v>
      </c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</row>
    <row r="84" spans="1:255" x14ac:dyDescent="0.2">
      <c r="A84" s="61"/>
      <c r="B84" s="62"/>
      <c r="C84" s="62" t="s">
        <v>585</v>
      </c>
      <c r="D84" s="63" t="s">
        <v>586</v>
      </c>
      <c r="E84" s="64">
        <v>3.32</v>
      </c>
      <c r="F84" s="65"/>
      <c r="G84" s="176">
        <f>Source!U29</f>
        <v>4.4023199999999996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</row>
    <row r="85" spans="1:255" x14ac:dyDescent="0.2">
      <c r="A85" s="77" t="s">
        <v>54</v>
      </c>
      <c r="B85" s="83" t="s">
        <v>31</v>
      </c>
      <c r="C85" s="78" t="s">
        <v>32</v>
      </c>
      <c r="D85" s="79" t="s">
        <v>33</v>
      </c>
      <c r="E85" s="80">
        <f>Source!I30</f>
        <v>-5.3039999999999997E-2</v>
      </c>
      <c r="F85" s="81" t="e">
        <f>DI85</f>
        <v>#REF!</v>
      </c>
      <c r="G85" s="82" t="e">
        <f>U85</f>
        <v>#REF!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 t="e">
        <f>Source!P30</f>
        <v>#REF!</v>
      </c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 t="e">
        <f>IF(E77&gt;0,ROUND(Source!P30/E77,2),0)</f>
        <v>#REF!</v>
      </c>
      <c r="DJ85" s="21"/>
      <c r="DK85" s="21"/>
      <c r="DL85" s="177" t="e">
        <f>F85</f>
        <v>#REF!</v>
      </c>
      <c r="DM85" s="21" t="e">
        <f>Source!P30</f>
        <v>#REF!</v>
      </c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</row>
    <row r="86" spans="1:255" ht="13.5" thickBot="1" x14ac:dyDescent="0.25">
      <c r="A86" s="89"/>
      <c r="B86" s="90"/>
      <c r="C86" s="90" t="s">
        <v>587</v>
      </c>
      <c r="D86" s="90"/>
      <c r="E86" s="90"/>
      <c r="F86" s="178" t="e">
        <f>SUM(DL77:DL85)</f>
        <v>#REF!</v>
      </c>
      <c r="G86" s="179" t="e">
        <f>SUM(DM77:DM85)</f>
        <v>#REF!</v>
      </c>
      <c r="H86" s="84"/>
      <c r="I86" s="84"/>
      <c r="J86" s="84"/>
      <c r="K86" s="84"/>
      <c r="L86" s="84"/>
      <c r="M86" s="84"/>
      <c r="N86" s="84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</row>
    <row r="87" spans="1:255" x14ac:dyDescent="0.2">
      <c r="A87" s="86"/>
      <c r="B87" s="85"/>
      <c r="C87" s="85" t="s">
        <v>588</v>
      </c>
      <c r="D87" s="85"/>
      <c r="E87" s="85"/>
      <c r="F87" s="87" t="e">
        <f>SUM(DI77:DI86)</f>
        <v>#REF!</v>
      </c>
      <c r="G87" s="88" t="e">
        <f>S87</f>
        <v>#REF!</v>
      </c>
      <c r="O87" s="21"/>
      <c r="P87" s="21"/>
      <c r="Q87" s="21"/>
      <c r="R87" s="21"/>
      <c r="S87" s="21" t="e">
        <f>SUM(U77:U86)</f>
        <v>#REF!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</row>
    <row r="88" spans="1:255" x14ac:dyDescent="0.2">
      <c r="A88" s="59"/>
      <c r="B88" s="58"/>
      <c r="C88" s="58"/>
      <c r="D88" s="58"/>
      <c r="E88" s="58"/>
      <c r="F88" s="58"/>
      <c r="G88" s="60"/>
    </row>
    <row r="89" spans="1:255" ht="35.25" x14ac:dyDescent="0.2">
      <c r="A89" s="91">
        <v>5</v>
      </c>
      <c r="B89" s="97" t="s">
        <v>56</v>
      </c>
      <c r="C89" s="92" t="s">
        <v>589</v>
      </c>
      <c r="D89" s="93" t="s">
        <v>58</v>
      </c>
      <c r="E89" s="94">
        <v>0.254</v>
      </c>
      <c r="F89" s="95" t="e">
        <f>IF(E89&gt;0,ROUND((Source!O31+Source!X31+Source!Y31)/E89,2),0)</f>
        <v>#REF!</v>
      </c>
      <c r="G89" s="96" t="e">
        <f>SUM(DS89:DS94)</f>
        <v>#REF!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</row>
    <row r="90" spans="1:255" x14ac:dyDescent="0.2">
      <c r="A90" s="55"/>
      <c r="B90" s="57" t="str">
        <f>IF(Source!I31=0.254," Расчет объема","")</f>
        <v xml:space="preserve"> Расчет объема</v>
      </c>
      <c r="C90" s="57" t="str">
        <f>IF(Source!I31=0.254,"   25,4/100 = 0,254","")</f>
        <v xml:space="preserve">   25,4/100 = 0,254</v>
      </c>
      <c r="D90" s="54"/>
      <c r="E90" s="54"/>
      <c r="F90" s="54"/>
      <c r="G90" s="56"/>
    </row>
    <row r="91" spans="1:255" x14ac:dyDescent="0.2">
      <c r="A91" s="61"/>
      <c r="B91" s="62"/>
      <c r="C91" s="62" t="s">
        <v>578</v>
      </c>
      <c r="D91" s="63"/>
      <c r="E91" s="64"/>
      <c r="F91" s="65" t="e">
        <f>DI91</f>
        <v>#REF!</v>
      </c>
      <c r="G91" s="66" t="e">
        <f>U91</f>
        <v>#REF!</v>
      </c>
      <c r="O91" s="21"/>
      <c r="P91" s="21"/>
      <c r="Q91" s="21"/>
      <c r="R91" s="21"/>
      <c r="S91" s="21"/>
      <c r="T91" s="21"/>
      <c r="U91" s="21" t="e">
        <f>Source!S31</f>
        <v>#REF!</v>
      </c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 t="e">
        <f>Source!S31</f>
        <v>#REF!</v>
      </c>
      <c r="DH91" s="21">
        <v>1</v>
      </c>
      <c r="DI91" s="21" t="e">
        <f>IF(E89&gt;0,ROUND(Source!S31/E89,2),0)</f>
        <v>#REF!</v>
      </c>
      <c r="DJ91" s="21"/>
      <c r="DK91" s="21"/>
      <c r="DL91" s="21"/>
      <c r="DM91" s="21"/>
      <c r="DN91" s="21"/>
      <c r="DO91" s="21"/>
      <c r="DP91" s="21"/>
      <c r="DQ91" s="21"/>
      <c r="DR91" s="21" t="e">
        <f>DI91</f>
        <v>#REF!</v>
      </c>
      <c r="DS91" s="21" t="e">
        <f>U91</f>
        <v>#REF!</v>
      </c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</row>
    <row r="92" spans="1:255" x14ac:dyDescent="0.2">
      <c r="A92" s="68"/>
      <c r="B92" s="69"/>
      <c r="C92" s="69" t="s">
        <v>582</v>
      </c>
      <c r="D92" s="70" t="s">
        <v>583</v>
      </c>
      <c r="E92" s="71">
        <v>89</v>
      </c>
      <c r="F92" s="72" t="e">
        <f>DI92</f>
        <v>#REF!</v>
      </c>
      <c r="G92" s="73" t="e">
        <f>U92</f>
        <v>#REF!</v>
      </c>
      <c r="O92" s="21"/>
      <c r="P92" s="21"/>
      <c r="Q92" s="21"/>
      <c r="R92" s="21"/>
      <c r="S92" s="21"/>
      <c r="T92" s="21"/>
      <c r="U92" s="21" t="e">
        <f>Source!X31</f>
        <v>#REF!</v>
      </c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 t="e">
        <f>IF(E89&gt;0,ROUND(Source!X31/E89,2),0)</f>
        <v>#REF!</v>
      </c>
      <c r="DJ92" s="21"/>
      <c r="DK92" s="21"/>
      <c r="DL92" s="21"/>
      <c r="DM92" s="21"/>
      <c r="DN92" s="21"/>
      <c r="DO92" s="21"/>
      <c r="DP92" s="21"/>
      <c r="DQ92" s="21"/>
      <c r="DR92" s="21" t="e">
        <f>DI92</f>
        <v>#REF!</v>
      </c>
      <c r="DS92" s="21" t="e">
        <f>U92</f>
        <v>#REF!</v>
      </c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</row>
    <row r="93" spans="1:255" x14ac:dyDescent="0.2">
      <c r="A93" s="68"/>
      <c r="B93" s="69"/>
      <c r="C93" s="69" t="s">
        <v>584</v>
      </c>
      <c r="D93" s="70" t="s">
        <v>583</v>
      </c>
      <c r="E93" s="71">
        <v>40</v>
      </c>
      <c r="F93" s="72" t="e">
        <f>DI93</f>
        <v>#REF!</v>
      </c>
      <c r="G93" s="73" t="e">
        <f>U93</f>
        <v>#REF!</v>
      </c>
      <c r="O93" s="21"/>
      <c r="P93" s="21"/>
      <c r="Q93" s="21"/>
      <c r="R93" s="21"/>
      <c r="S93" s="21"/>
      <c r="T93" s="21"/>
      <c r="U93" s="21" t="e">
        <f>Source!Y31</f>
        <v>#REF!</v>
      </c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 t="e">
        <f>IF(E89&gt;0,ROUND(Source!Y31/E89,2),0)</f>
        <v>#REF!</v>
      </c>
      <c r="DJ93" s="21"/>
      <c r="DK93" s="21"/>
      <c r="DL93" s="21"/>
      <c r="DM93" s="21"/>
      <c r="DN93" s="21"/>
      <c r="DO93" s="21"/>
      <c r="DP93" s="21"/>
      <c r="DQ93" s="21"/>
      <c r="DR93" s="21" t="e">
        <f>DI93</f>
        <v>#REF!</v>
      </c>
      <c r="DS93" s="21" t="e">
        <f>U93</f>
        <v>#REF!</v>
      </c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</row>
    <row r="94" spans="1:255" ht="13.5" thickBot="1" x14ac:dyDescent="0.25">
      <c r="A94" s="108"/>
      <c r="B94" s="109"/>
      <c r="C94" s="109" t="s">
        <v>585</v>
      </c>
      <c r="D94" s="110" t="s">
        <v>586</v>
      </c>
      <c r="E94" s="111">
        <v>154</v>
      </c>
      <c r="F94" s="112"/>
      <c r="G94" s="180">
        <f>Source!U31</f>
        <v>53.980080000000001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</row>
    <row r="95" spans="1:255" x14ac:dyDescent="0.2">
      <c r="A95" s="86"/>
      <c r="B95" s="85"/>
      <c r="C95" s="85" t="s">
        <v>588</v>
      </c>
      <c r="D95" s="85"/>
      <c r="E95" s="85"/>
      <c r="F95" s="87" t="e">
        <f>SUM(DI89:DI94)</f>
        <v>#REF!</v>
      </c>
      <c r="G95" s="88" t="e">
        <f>S95</f>
        <v>#REF!</v>
      </c>
      <c r="O95" s="21"/>
      <c r="P95" s="21"/>
      <c r="Q95" s="21"/>
      <c r="R95" s="21"/>
      <c r="S95" s="21" t="e">
        <f>SUM(U89:U94)</f>
        <v>#REF!</v>
      </c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</row>
    <row r="96" spans="1:255" x14ac:dyDescent="0.2">
      <c r="A96" s="59"/>
      <c r="B96" s="58"/>
      <c r="C96" s="58"/>
      <c r="D96" s="58"/>
      <c r="E96" s="58"/>
      <c r="F96" s="58"/>
      <c r="G96" s="60"/>
    </row>
    <row r="97" spans="1:255" x14ac:dyDescent="0.2">
      <c r="A97" s="91">
        <v>6</v>
      </c>
      <c r="B97" s="97" t="s">
        <v>66</v>
      </c>
      <c r="C97" s="92" t="s">
        <v>67</v>
      </c>
      <c r="D97" s="93" t="s">
        <v>68</v>
      </c>
      <c r="E97" s="94">
        <v>5.0999999999999996</v>
      </c>
      <c r="F97" s="95" t="e">
        <f>IF(E97&gt;0,ROUND((Source!O32+Source!X32+Source!Y32)/E97,2),0)</f>
        <v>#REF!</v>
      </c>
      <c r="G97" s="96" t="e">
        <f>SUM(DS97:DS106)</f>
        <v>#REF!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</row>
    <row r="98" spans="1:255" x14ac:dyDescent="0.2">
      <c r="A98" s="55"/>
      <c r="B98" s="57" t="str">
        <f>IF(Source!I32=5.1," Расчет объема","")</f>
        <v xml:space="preserve"> Расчет объема</v>
      </c>
      <c r="C98" s="57" t="str">
        <f>IF(Source!I32=5.1,"   51/10 = 5,1","")</f>
        <v xml:space="preserve">   51/10 = 5,1</v>
      </c>
      <c r="D98" s="54"/>
      <c r="E98" s="54"/>
      <c r="F98" s="54"/>
      <c r="G98" s="56"/>
    </row>
    <row r="99" spans="1:255" x14ac:dyDescent="0.2">
      <c r="A99" s="61"/>
      <c r="B99" s="62"/>
      <c r="C99" s="62" t="s">
        <v>578</v>
      </c>
      <c r="D99" s="63"/>
      <c r="E99" s="64"/>
      <c r="F99" s="65" t="e">
        <f>DI99</f>
        <v>#REF!</v>
      </c>
      <c r="G99" s="66" t="e">
        <f>U99</f>
        <v>#REF!</v>
      </c>
      <c r="O99" s="21"/>
      <c r="P99" s="21"/>
      <c r="Q99" s="21"/>
      <c r="R99" s="21"/>
      <c r="S99" s="21"/>
      <c r="T99" s="21"/>
      <c r="U99" s="21" t="e">
        <f>Source!S32</f>
        <v>#REF!</v>
      </c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 t="e">
        <f>Source!S32</f>
        <v>#REF!</v>
      </c>
      <c r="DH99" s="21">
        <v>1</v>
      </c>
      <c r="DI99" s="21" t="e">
        <f>IF(E97&gt;0,ROUND(Source!S32/E97,2),0)</f>
        <v>#REF!</v>
      </c>
      <c r="DJ99" s="21"/>
      <c r="DK99" s="21"/>
      <c r="DL99" s="21"/>
      <c r="DM99" s="21"/>
      <c r="DN99" s="21"/>
      <c r="DO99" s="21"/>
      <c r="DP99" s="21"/>
      <c r="DQ99" s="21"/>
      <c r="DR99" s="21" t="e">
        <f>DI99</f>
        <v>#REF!</v>
      </c>
      <c r="DS99" s="21" t="e">
        <f>U99</f>
        <v>#REF!</v>
      </c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</row>
    <row r="100" spans="1:255" x14ac:dyDescent="0.2">
      <c r="A100" s="61"/>
      <c r="B100" s="62"/>
      <c r="C100" s="62" t="s">
        <v>579</v>
      </c>
      <c r="D100" s="63"/>
      <c r="E100" s="64"/>
      <c r="F100" s="65" t="e">
        <f>DI100</f>
        <v>#REF!</v>
      </c>
      <c r="G100" s="66" t="e">
        <f>U100</f>
        <v>#REF!</v>
      </c>
      <c r="O100" s="21"/>
      <c r="P100" s="21"/>
      <c r="Q100" s="21"/>
      <c r="R100" s="21"/>
      <c r="S100" s="21"/>
      <c r="T100" s="21"/>
      <c r="U100" s="21" t="e">
        <f>Source!Q32</f>
        <v>#REF!</v>
      </c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 t="e">
        <f>IF(E97&gt;0,ROUND(Source!Q32/E97,2),0)</f>
        <v>#REF!</v>
      </c>
      <c r="DJ100" s="21"/>
      <c r="DK100" s="21"/>
      <c r="DL100" s="21"/>
      <c r="DM100" s="21"/>
      <c r="DN100" s="21"/>
      <c r="DO100" s="21"/>
      <c r="DP100" s="21"/>
      <c r="DQ100" s="21"/>
      <c r="DR100" s="21" t="e">
        <f>DI100</f>
        <v>#REF!</v>
      </c>
      <c r="DS100" s="21" t="e">
        <f>U100</f>
        <v>#REF!</v>
      </c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</row>
    <row r="101" spans="1:255" x14ac:dyDescent="0.2">
      <c r="A101" s="61"/>
      <c r="B101" s="62"/>
      <c r="C101" s="62" t="s">
        <v>580</v>
      </c>
      <c r="D101" s="63"/>
      <c r="E101" s="64"/>
      <c r="F101" s="65" t="e">
        <f>IF(E97&gt;0,ROUND(Source!R32/E97,2),0)</f>
        <v>#REF!</v>
      </c>
      <c r="G101" s="66" t="e">
        <f>Source!R32</f>
        <v>#REF!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</row>
    <row r="102" spans="1:255" x14ac:dyDescent="0.2">
      <c r="A102" s="68"/>
      <c r="B102" s="69"/>
      <c r="C102" s="69" t="s">
        <v>582</v>
      </c>
      <c r="D102" s="70" t="s">
        <v>583</v>
      </c>
      <c r="E102" s="71">
        <v>117</v>
      </c>
      <c r="F102" s="72" t="e">
        <f>DI102</f>
        <v>#REF!</v>
      </c>
      <c r="G102" s="73" t="e">
        <f>U102</f>
        <v>#REF!</v>
      </c>
      <c r="O102" s="21"/>
      <c r="P102" s="21"/>
      <c r="Q102" s="21"/>
      <c r="R102" s="21"/>
      <c r="S102" s="21"/>
      <c r="T102" s="21"/>
      <c r="U102" s="21" t="e">
        <f>Source!X32</f>
        <v>#REF!</v>
      </c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 t="e">
        <f>IF(E97&gt;0,ROUND(Source!X32/E97,2),0)</f>
        <v>#REF!</v>
      </c>
      <c r="DJ102" s="21"/>
      <c r="DK102" s="21"/>
      <c r="DL102" s="21"/>
      <c r="DM102" s="21"/>
      <c r="DN102" s="21"/>
      <c r="DO102" s="21"/>
      <c r="DP102" s="21"/>
      <c r="DQ102" s="21"/>
      <c r="DR102" s="21" t="e">
        <f>DI102</f>
        <v>#REF!</v>
      </c>
      <c r="DS102" s="21" t="e">
        <f>U102</f>
        <v>#REF!</v>
      </c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</row>
    <row r="103" spans="1:255" x14ac:dyDescent="0.2">
      <c r="A103" s="68"/>
      <c r="B103" s="69"/>
      <c r="C103" s="69" t="s">
        <v>584</v>
      </c>
      <c r="D103" s="70" t="s">
        <v>583</v>
      </c>
      <c r="E103" s="71">
        <v>74</v>
      </c>
      <c r="F103" s="72" t="e">
        <f>DI103</f>
        <v>#REF!</v>
      </c>
      <c r="G103" s="73" t="e">
        <f>U103</f>
        <v>#REF!</v>
      </c>
      <c r="O103" s="21"/>
      <c r="P103" s="21"/>
      <c r="Q103" s="21"/>
      <c r="R103" s="21"/>
      <c r="S103" s="21"/>
      <c r="T103" s="21"/>
      <c r="U103" s="21" t="e">
        <f>Source!Y32</f>
        <v>#REF!</v>
      </c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 t="e">
        <f>IF(E97&gt;0,ROUND(Source!Y32/E97,2),0)</f>
        <v>#REF!</v>
      </c>
      <c r="DJ103" s="21"/>
      <c r="DK103" s="21"/>
      <c r="DL103" s="21"/>
      <c r="DM103" s="21"/>
      <c r="DN103" s="21"/>
      <c r="DO103" s="21"/>
      <c r="DP103" s="21"/>
      <c r="DQ103" s="21"/>
      <c r="DR103" s="21" t="e">
        <f>DI103</f>
        <v>#REF!</v>
      </c>
      <c r="DS103" s="21" t="e">
        <f>U103</f>
        <v>#REF!</v>
      </c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</row>
    <row r="104" spans="1:255" x14ac:dyDescent="0.2">
      <c r="A104" s="61"/>
      <c r="B104" s="62"/>
      <c r="C104" s="62" t="s">
        <v>585</v>
      </c>
      <c r="D104" s="63" t="s">
        <v>586</v>
      </c>
      <c r="E104" s="64">
        <v>10.199999999999999</v>
      </c>
      <c r="F104" s="65"/>
      <c r="G104" s="176">
        <f>Source!U32</f>
        <v>52.02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</row>
    <row r="105" spans="1:255" ht="24" x14ac:dyDescent="0.2">
      <c r="A105" s="77" t="s">
        <v>74</v>
      </c>
      <c r="B105" s="83" t="s">
        <v>75</v>
      </c>
      <c r="C105" s="78" t="s">
        <v>76</v>
      </c>
      <c r="D105" s="79" t="s">
        <v>33</v>
      </c>
      <c r="E105" s="80">
        <f>Source!I33</f>
        <v>56.099999999999994</v>
      </c>
      <c r="F105" s="81" t="e">
        <f>DI105</f>
        <v>#REF!</v>
      </c>
      <c r="G105" s="82" t="e">
        <f>U105</f>
        <v>#REF!</v>
      </c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 t="e">
        <f>Source!P33</f>
        <v>#REF!</v>
      </c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 t="e">
        <f>IF(E97&gt;0,ROUND(Source!P33/E97,2),0)</f>
        <v>#REF!</v>
      </c>
      <c r="DJ105" s="21"/>
      <c r="DK105" s="21"/>
      <c r="DL105" s="177" t="e">
        <f>F105</f>
        <v>#REF!</v>
      </c>
      <c r="DM105" s="21" t="e">
        <f>Source!P33</f>
        <v>#REF!</v>
      </c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</row>
    <row r="106" spans="1:255" ht="13.5" thickBot="1" x14ac:dyDescent="0.25">
      <c r="A106" s="89"/>
      <c r="B106" s="90"/>
      <c r="C106" s="90" t="s">
        <v>587</v>
      </c>
      <c r="D106" s="90"/>
      <c r="E106" s="90"/>
      <c r="F106" s="178" t="e">
        <f>SUM(DL97:DL105)</f>
        <v>#REF!</v>
      </c>
      <c r="G106" s="179" t="e">
        <f>SUM(DM97:DM105)</f>
        <v>#REF!</v>
      </c>
      <c r="H106" s="84"/>
      <c r="I106" s="84"/>
      <c r="J106" s="84"/>
      <c r="K106" s="84"/>
      <c r="L106" s="84"/>
      <c r="M106" s="84"/>
      <c r="N106" s="84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</row>
    <row r="107" spans="1:255" x14ac:dyDescent="0.2">
      <c r="A107" s="86"/>
      <c r="B107" s="85"/>
      <c r="C107" s="85" t="s">
        <v>588</v>
      </c>
      <c r="D107" s="85"/>
      <c r="E107" s="85"/>
      <c r="F107" s="87" t="e">
        <f>SUM(DI97:DI106)</f>
        <v>#REF!</v>
      </c>
      <c r="G107" s="88" t="e">
        <f>S107</f>
        <v>#REF!</v>
      </c>
      <c r="O107" s="21"/>
      <c r="P107" s="21"/>
      <c r="Q107" s="21"/>
      <c r="R107" s="21"/>
      <c r="S107" s="21" t="e">
        <f>SUM(U97:U106)</f>
        <v>#REF!</v>
      </c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</row>
    <row r="108" spans="1:255" x14ac:dyDescent="0.2">
      <c r="A108" s="59"/>
      <c r="B108" s="58"/>
      <c r="C108" s="58"/>
      <c r="D108" s="58"/>
      <c r="E108" s="58"/>
      <c r="F108" s="58"/>
      <c r="G108" s="60"/>
    </row>
    <row r="109" spans="1:255" ht="24" x14ac:dyDescent="0.2">
      <c r="A109" s="91">
        <v>7</v>
      </c>
      <c r="B109" s="97" t="s">
        <v>79</v>
      </c>
      <c r="C109" s="92" t="s">
        <v>80</v>
      </c>
      <c r="D109" s="93" t="s">
        <v>81</v>
      </c>
      <c r="E109" s="94">
        <v>4.42</v>
      </c>
      <c r="F109" s="95" t="e">
        <f>IF(E109&gt;0,ROUND((Source!O34+Source!X34+Source!Y34)/E109,2),0)</f>
        <v>#REF!</v>
      </c>
      <c r="G109" s="96" t="e">
        <f>SUM(DS109:DS120)</f>
        <v>#REF!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</row>
    <row r="110" spans="1:255" x14ac:dyDescent="0.2">
      <c r="A110" s="55"/>
      <c r="B110" s="57" t="str">
        <f>IF(Source!I34=4.42," Расчет объема","")</f>
        <v xml:space="preserve"> Расчет объема</v>
      </c>
      <c r="C110" s="57" t="str">
        <f>IF(Source!I34=4.42,"   442/100 = 4,42","")</f>
        <v xml:space="preserve">   442/100 = 4,42</v>
      </c>
      <c r="D110" s="54"/>
      <c r="E110" s="54"/>
      <c r="F110" s="54"/>
      <c r="G110" s="56"/>
    </row>
    <row r="111" spans="1:255" x14ac:dyDescent="0.2">
      <c r="A111" s="61"/>
      <c r="B111" s="62"/>
      <c r="C111" s="62" t="s">
        <v>578</v>
      </c>
      <c r="D111" s="63"/>
      <c r="E111" s="64"/>
      <c r="F111" s="65" t="e">
        <f>DI111</f>
        <v>#REF!</v>
      </c>
      <c r="G111" s="66" t="e">
        <f>U111</f>
        <v>#REF!</v>
      </c>
      <c r="O111" s="21"/>
      <c r="P111" s="21"/>
      <c r="Q111" s="21"/>
      <c r="R111" s="21"/>
      <c r="S111" s="21"/>
      <c r="T111" s="21"/>
      <c r="U111" s="21" t="e">
        <f>Source!S34</f>
        <v>#REF!</v>
      </c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 t="e">
        <f>Source!S34</f>
        <v>#REF!</v>
      </c>
      <c r="DH111" s="21">
        <v>1</v>
      </c>
      <c r="DI111" s="21" t="e">
        <f>IF(E109&gt;0,ROUND(Source!S34/E109,2),0)</f>
        <v>#REF!</v>
      </c>
      <c r="DJ111" s="21"/>
      <c r="DK111" s="21"/>
      <c r="DL111" s="21"/>
      <c r="DM111" s="21"/>
      <c r="DN111" s="21"/>
      <c r="DO111" s="21"/>
      <c r="DP111" s="21"/>
      <c r="DQ111" s="21"/>
      <c r="DR111" s="21" t="e">
        <f>DI111</f>
        <v>#REF!</v>
      </c>
      <c r="DS111" s="21" t="e">
        <f>U111</f>
        <v>#REF!</v>
      </c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</row>
    <row r="112" spans="1:255" x14ac:dyDescent="0.2">
      <c r="A112" s="61"/>
      <c r="B112" s="62"/>
      <c r="C112" s="62" t="s">
        <v>579</v>
      </c>
      <c r="D112" s="63"/>
      <c r="E112" s="64"/>
      <c r="F112" s="65" t="e">
        <f>DI112</f>
        <v>#REF!</v>
      </c>
      <c r="G112" s="66" t="e">
        <f>U112</f>
        <v>#REF!</v>
      </c>
      <c r="O112" s="21"/>
      <c r="P112" s="21"/>
      <c r="Q112" s="21"/>
      <c r="R112" s="21"/>
      <c r="S112" s="21"/>
      <c r="T112" s="21"/>
      <c r="U112" s="21" t="e">
        <f>Source!Q34</f>
        <v>#REF!</v>
      </c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 t="e">
        <f>IF(E109&gt;0,ROUND(Source!Q34/E109,2),0)</f>
        <v>#REF!</v>
      </c>
      <c r="DJ112" s="21"/>
      <c r="DK112" s="21"/>
      <c r="DL112" s="21"/>
      <c r="DM112" s="21"/>
      <c r="DN112" s="21"/>
      <c r="DO112" s="21"/>
      <c r="DP112" s="21"/>
      <c r="DQ112" s="21"/>
      <c r="DR112" s="21" t="e">
        <f>DI112</f>
        <v>#REF!</v>
      </c>
      <c r="DS112" s="21" t="e">
        <f>U112</f>
        <v>#REF!</v>
      </c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</row>
    <row r="113" spans="1:255" x14ac:dyDescent="0.2">
      <c r="A113" s="61"/>
      <c r="B113" s="62"/>
      <c r="C113" s="62" t="s">
        <v>580</v>
      </c>
      <c r="D113" s="63"/>
      <c r="E113" s="64"/>
      <c r="F113" s="65" t="e">
        <f>IF(E109&gt;0,ROUND(Source!R34/E109,2),0)</f>
        <v>#REF!</v>
      </c>
      <c r="G113" s="66" t="e">
        <f>Source!R34</f>
        <v>#REF!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</row>
    <row r="114" spans="1:255" x14ac:dyDescent="0.2">
      <c r="A114" s="61"/>
      <c r="B114" s="62"/>
      <c r="C114" s="62" t="s">
        <v>581</v>
      </c>
      <c r="D114" s="63"/>
      <c r="E114" s="64"/>
      <c r="F114" s="65" t="e">
        <f>DI114</f>
        <v>#REF!</v>
      </c>
      <c r="G114" s="66" t="e">
        <f>U114</f>
        <v>#REF!</v>
      </c>
      <c r="O114" s="21"/>
      <c r="P114" s="21"/>
      <c r="Q114" s="21"/>
      <c r="R114" s="21"/>
      <c r="S114" s="21"/>
      <c r="T114" s="21"/>
      <c r="U114" s="21" t="e">
        <f>Source!P34</f>
        <v>#REF!</v>
      </c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 t="e">
        <f>IF(E109&gt;0,ROUND(Source!P34/E109,2),0)</f>
        <v>#REF!</v>
      </c>
      <c r="DJ114" s="21"/>
      <c r="DK114" s="21"/>
      <c r="DL114" s="21" t="e">
        <f>DI114</f>
        <v>#REF!</v>
      </c>
      <c r="DM114" s="21" t="e">
        <f>U114</f>
        <v>#REF!</v>
      </c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</row>
    <row r="115" spans="1:255" x14ac:dyDescent="0.2">
      <c r="A115" s="68"/>
      <c r="B115" s="69"/>
      <c r="C115" s="69" t="s">
        <v>582</v>
      </c>
      <c r="D115" s="70" t="s">
        <v>583</v>
      </c>
      <c r="E115" s="71">
        <v>117</v>
      </c>
      <c r="F115" s="72" t="e">
        <f>DI115</f>
        <v>#REF!</v>
      </c>
      <c r="G115" s="73" t="e">
        <f>U115</f>
        <v>#REF!</v>
      </c>
      <c r="O115" s="21"/>
      <c r="P115" s="21"/>
      <c r="Q115" s="21"/>
      <c r="R115" s="21"/>
      <c r="S115" s="21"/>
      <c r="T115" s="21"/>
      <c r="U115" s="21" t="e">
        <f>Source!X34</f>
        <v>#REF!</v>
      </c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 t="e">
        <f>IF(E109&gt;0,ROUND(Source!X34/E109,2),0)</f>
        <v>#REF!</v>
      </c>
      <c r="DJ115" s="21"/>
      <c r="DK115" s="21"/>
      <c r="DL115" s="21"/>
      <c r="DM115" s="21"/>
      <c r="DN115" s="21"/>
      <c r="DO115" s="21"/>
      <c r="DP115" s="21"/>
      <c r="DQ115" s="21"/>
      <c r="DR115" s="21" t="e">
        <f>DI115</f>
        <v>#REF!</v>
      </c>
      <c r="DS115" s="21" t="e">
        <f>U115</f>
        <v>#REF!</v>
      </c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</row>
    <row r="116" spans="1:255" x14ac:dyDescent="0.2">
      <c r="A116" s="68"/>
      <c r="B116" s="69"/>
      <c r="C116" s="69" t="s">
        <v>584</v>
      </c>
      <c r="D116" s="70" t="s">
        <v>583</v>
      </c>
      <c r="E116" s="71">
        <v>74</v>
      </c>
      <c r="F116" s="72" t="e">
        <f>DI116</f>
        <v>#REF!</v>
      </c>
      <c r="G116" s="73" t="e">
        <f>U116</f>
        <v>#REF!</v>
      </c>
      <c r="O116" s="21"/>
      <c r="P116" s="21"/>
      <c r="Q116" s="21"/>
      <c r="R116" s="21"/>
      <c r="S116" s="21"/>
      <c r="T116" s="21"/>
      <c r="U116" s="21" t="e">
        <f>Source!Y34</f>
        <v>#REF!</v>
      </c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 t="e">
        <f>IF(E109&gt;0,ROUND(Source!Y34/E109,2),0)</f>
        <v>#REF!</v>
      </c>
      <c r="DJ116" s="21"/>
      <c r="DK116" s="21"/>
      <c r="DL116" s="21"/>
      <c r="DM116" s="21"/>
      <c r="DN116" s="21"/>
      <c r="DO116" s="21"/>
      <c r="DP116" s="21"/>
      <c r="DQ116" s="21"/>
      <c r="DR116" s="21" t="e">
        <f>DI116</f>
        <v>#REF!</v>
      </c>
      <c r="DS116" s="21" t="e">
        <f>U116</f>
        <v>#REF!</v>
      </c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</row>
    <row r="117" spans="1:255" x14ac:dyDescent="0.2">
      <c r="A117" s="61"/>
      <c r="B117" s="62"/>
      <c r="C117" s="62" t="s">
        <v>585</v>
      </c>
      <c r="D117" s="63" t="s">
        <v>586</v>
      </c>
      <c r="E117" s="64">
        <v>29.68</v>
      </c>
      <c r="F117" s="65"/>
      <c r="G117" s="176">
        <f>Source!U34</f>
        <v>131.18559999999999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</row>
    <row r="118" spans="1:255" ht="24" x14ac:dyDescent="0.2">
      <c r="A118" s="115" t="s">
        <v>83</v>
      </c>
      <c r="B118" s="116" t="s">
        <v>84</v>
      </c>
      <c r="C118" s="117" t="s">
        <v>85</v>
      </c>
      <c r="D118" s="118" t="s">
        <v>86</v>
      </c>
      <c r="E118" s="119">
        <f>Source!I35</f>
        <v>442</v>
      </c>
      <c r="F118" s="120" t="e">
        <f>DI118</f>
        <v>#REF!</v>
      </c>
      <c r="G118" s="121" t="e">
        <f>U118</f>
        <v>#REF!</v>
      </c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 t="e">
        <f>Source!P35</f>
        <v>#REF!</v>
      </c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 t="e">
        <f>IF(E109&gt;0,ROUND(Source!P35/E109,2),0)</f>
        <v>#REF!</v>
      </c>
      <c r="DJ118" s="21"/>
      <c r="DK118" s="21"/>
      <c r="DL118" s="177" t="e">
        <f>F118</f>
        <v>#REF!</v>
      </c>
      <c r="DM118" s="21" t="e">
        <f>Source!P35</f>
        <v>#REF!</v>
      </c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</row>
    <row r="119" spans="1:255" x14ac:dyDescent="0.2">
      <c r="A119" s="75"/>
      <c r="B119" s="114" t="s">
        <v>590</v>
      </c>
      <c r="C119" s="114" t="s">
        <v>591</v>
      </c>
      <c r="D119" s="31"/>
      <c r="E119" s="31"/>
      <c r="F119" s="31"/>
      <c r="G119" s="76"/>
    </row>
    <row r="120" spans="1:255" ht="13.5" thickBot="1" x14ac:dyDescent="0.25">
      <c r="A120" s="89"/>
      <c r="B120" s="90"/>
      <c r="C120" s="90" t="s">
        <v>587</v>
      </c>
      <c r="D120" s="90"/>
      <c r="E120" s="90"/>
      <c r="F120" s="178" t="e">
        <f>SUM(DL109:DL119)</f>
        <v>#REF!</v>
      </c>
      <c r="G120" s="179" t="e">
        <f>SUM(DM109:DM119)</f>
        <v>#REF!</v>
      </c>
      <c r="H120" s="84"/>
      <c r="I120" s="84"/>
      <c r="J120" s="84"/>
      <c r="K120" s="84"/>
      <c r="L120" s="84"/>
      <c r="M120" s="84"/>
      <c r="N120" s="84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</row>
    <row r="121" spans="1:255" x14ac:dyDescent="0.2">
      <c r="A121" s="86"/>
      <c r="B121" s="85"/>
      <c r="C121" s="85" t="s">
        <v>588</v>
      </c>
      <c r="D121" s="85"/>
      <c r="E121" s="85"/>
      <c r="F121" s="87" t="e">
        <f>SUM(DI109:DI120)</f>
        <v>#REF!</v>
      </c>
      <c r="G121" s="88" t="e">
        <f>S121</f>
        <v>#REF!</v>
      </c>
      <c r="O121" s="21"/>
      <c r="P121" s="21"/>
      <c r="Q121" s="21"/>
      <c r="R121" s="21"/>
      <c r="S121" s="21" t="e">
        <f>SUM(U109:U120)</f>
        <v>#REF!</v>
      </c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</row>
    <row r="122" spans="1:255" x14ac:dyDescent="0.2">
      <c r="A122" s="59"/>
      <c r="B122" s="58"/>
      <c r="C122" s="58"/>
      <c r="D122" s="58"/>
      <c r="E122" s="58"/>
      <c r="F122" s="58"/>
      <c r="G122" s="60"/>
    </row>
    <row r="123" spans="1:255" ht="36" x14ac:dyDescent="0.2">
      <c r="A123" s="91">
        <v>8</v>
      </c>
      <c r="B123" s="97" t="s">
        <v>93</v>
      </c>
      <c r="C123" s="92" t="s">
        <v>94</v>
      </c>
      <c r="D123" s="93" t="s">
        <v>68</v>
      </c>
      <c r="E123" s="94">
        <v>1.95</v>
      </c>
      <c r="F123" s="95" t="e">
        <f>IF(E123&gt;0,ROUND((Source!O36+Source!X36+Source!Y36)/E123,2),0)</f>
        <v>#REF!</v>
      </c>
      <c r="G123" s="96" t="e">
        <f>SUM(DS123:DS143)</f>
        <v>#REF!</v>
      </c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</row>
    <row r="124" spans="1:255" x14ac:dyDescent="0.2">
      <c r="A124" s="55"/>
      <c r="B124" s="57" t="str">
        <f>IF(Source!I36=1.95," Расчет объема","")</f>
        <v xml:space="preserve"> Расчет объема</v>
      </c>
      <c r="C124" s="57" t="str">
        <f>IF(Source!I36=1.95,"   19,5/10 = 1,95","")</f>
        <v xml:space="preserve">   19,5/10 = 1,95</v>
      </c>
      <c r="D124" s="54"/>
      <c r="E124" s="54"/>
      <c r="F124" s="54"/>
      <c r="G124" s="56"/>
    </row>
    <row r="125" spans="1:255" x14ac:dyDescent="0.2">
      <c r="A125" s="61"/>
      <c r="B125" s="62"/>
      <c r="C125" s="62" t="s">
        <v>578</v>
      </c>
      <c r="D125" s="63"/>
      <c r="E125" s="64"/>
      <c r="F125" s="65" t="e">
        <f>DI125</f>
        <v>#REF!</v>
      </c>
      <c r="G125" s="66" t="e">
        <f>U125</f>
        <v>#REF!</v>
      </c>
      <c r="O125" s="21"/>
      <c r="P125" s="21"/>
      <c r="Q125" s="21"/>
      <c r="R125" s="21"/>
      <c r="S125" s="21"/>
      <c r="T125" s="21"/>
      <c r="U125" s="21" t="e">
        <f>Source!S36</f>
        <v>#REF!</v>
      </c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 t="e">
        <f>Source!S36</f>
        <v>#REF!</v>
      </c>
      <c r="DH125" s="21">
        <v>1</v>
      </c>
      <c r="DI125" s="21" t="e">
        <f>IF(E123&gt;0,ROUND(Source!S36/E123,2),0)</f>
        <v>#REF!</v>
      </c>
      <c r="DJ125" s="21"/>
      <c r="DK125" s="21"/>
      <c r="DL125" s="21"/>
      <c r="DM125" s="21"/>
      <c r="DN125" s="21"/>
      <c r="DO125" s="21"/>
      <c r="DP125" s="21"/>
      <c r="DQ125" s="21"/>
      <c r="DR125" s="21" t="e">
        <f>DI125</f>
        <v>#REF!</v>
      </c>
      <c r="DS125" s="21" t="e">
        <f>U125</f>
        <v>#REF!</v>
      </c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</row>
    <row r="126" spans="1:255" x14ac:dyDescent="0.2">
      <c r="A126" s="61"/>
      <c r="B126" s="62"/>
      <c r="C126" s="62" t="s">
        <v>579</v>
      </c>
      <c r="D126" s="63"/>
      <c r="E126" s="64"/>
      <c r="F126" s="65" t="e">
        <f>DI126</f>
        <v>#REF!</v>
      </c>
      <c r="G126" s="66" t="e">
        <f>U126</f>
        <v>#REF!</v>
      </c>
      <c r="O126" s="21"/>
      <c r="P126" s="21"/>
      <c r="Q126" s="21"/>
      <c r="R126" s="21"/>
      <c r="S126" s="21"/>
      <c r="T126" s="21"/>
      <c r="U126" s="21" t="e">
        <f>Source!Q36</f>
        <v>#REF!</v>
      </c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 t="e">
        <f>IF(E123&gt;0,ROUND(Source!Q36/E123,2),0)</f>
        <v>#REF!</v>
      </c>
      <c r="DJ126" s="21"/>
      <c r="DK126" s="21"/>
      <c r="DL126" s="21"/>
      <c r="DM126" s="21"/>
      <c r="DN126" s="21"/>
      <c r="DO126" s="21"/>
      <c r="DP126" s="21"/>
      <c r="DQ126" s="21"/>
      <c r="DR126" s="21" t="e">
        <f>DI126</f>
        <v>#REF!</v>
      </c>
      <c r="DS126" s="21" t="e">
        <f>U126</f>
        <v>#REF!</v>
      </c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</row>
    <row r="127" spans="1:255" x14ac:dyDescent="0.2">
      <c r="A127" s="61"/>
      <c r="B127" s="62"/>
      <c r="C127" s="62" t="s">
        <v>580</v>
      </c>
      <c r="D127" s="63"/>
      <c r="E127" s="64"/>
      <c r="F127" s="65" t="e">
        <f>IF(E123&gt;0,ROUND(Source!R36/E123,2),0)</f>
        <v>#REF!</v>
      </c>
      <c r="G127" s="66" t="e">
        <f>Source!R36</f>
        <v>#REF!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</row>
    <row r="128" spans="1:255" x14ac:dyDescent="0.2">
      <c r="A128" s="61"/>
      <c r="B128" s="62"/>
      <c r="C128" s="62" t="s">
        <v>581</v>
      </c>
      <c r="D128" s="63"/>
      <c r="E128" s="64"/>
      <c r="F128" s="65" t="e">
        <f>DI128</f>
        <v>#REF!</v>
      </c>
      <c r="G128" s="66" t="e">
        <f>U128</f>
        <v>#REF!</v>
      </c>
      <c r="O128" s="21"/>
      <c r="P128" s="21"/>
      <c r="Q128" s="21"/>
      <c r="R128" s="21"/>
      <c r="S128" s="21"/>
      <c r="T128" s="21"/>
      <c r="U128" s="21" t="e">
        <f>Source!P36</f>
        <v>#REF!</v>
      </c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 t="e">
        <f>IF(E123&gt;0,ROUND(Source!P36/E123,2),0)</f>
        <v>#REF!</v>
      </c>
      <c r="DJ128" s="21"/>
      <c r="DK128" s="21"/>
      <c r="DL128" s="21" t="e">
        <f>DI128</f>
        <v>#REF!</v>
      </c>
      <c r="DM128" s="21" t="e">
        <f>U128</f>
        <v>#REF!</v>
      </c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</row>
    <row r="129" spans="1:255" x14ac:dyDescent="0.2">
      <c r="A129" s="68"/>
      <c r="B129" s="69"/>
      <c r="C129" s="69" t="s">
        <v>582</v>
      </c>
      <c r="D129" s="70" t="s">
        <v>583</v>
      </c>
      <c r="E129" s="71">
        <v>117</v>
      </c>
      <c r="F129" s="72" t="e">
        <f>DI129</f>
        <v>#REF!</v>
      </c>
      <c r="G129" s="73" t="e">
        <f>U129</f>
        <v>#REF!</v>
      </c>
      <c r="O129" s="21"/>
      <c r="P129" s="21"/>
      <c r="Q129" s="21"/>
      <c r="R129" s="21"/>
      <c r="S129" s="21"/>
      <c r="T129" s="21"/>
      <c r="U129" s="21" t="e">
        <f>Source!X36</f>
        <v>#REF!</v>
      </c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 t="e">
        <f>IF(E123&gt;0,ROUND(Source!X36/E123,2),0)</f>
        <v>#REF!</v>
      </c>
      <c r="DJ129" s="21"/>
      <c r="DK129" s="21"/>
      <c r="DL129" s="21"/>
      <c r="DM129" s="21"/>
      <c r="DN129" s="21"/>
      <c r="DO129" s="21"/>
      <c r="DP129" s="21"/>
      <c r="DQ129" s="21"/>
      <c r="DR129" s="21" t="e">
        <f>DI129</f>
        <v>#REF!</v>
      </c>
      <c r="DS129" s="21" t="e">
        <f>U129</f>
        <v>#REF!</v>
      </c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</row>
    <row r="130" spans="1:255" x14ac:dyDescent="0.2">
      <c r="A130" s="68"/>
      <c r="B130" s="69"/>
      <c r="C130" s="69" t="s">
        <v>584</v>
      </c>
      <c r="D130" s="70" t="s">
        <v>583</v>
      </c>
      <c r="E130" s="71">
        <v>74</v>
      </c>
      <c r="F130" s="72" t="e">
        <f>DI130</f>
        <v>#REF!</v>
      </c>
      <c r="G130" s="73" t="e">
        <f>U130</f>
        <v>#REF!</v>
      </c>
      <c r="O130" s="21"/>
      <c r="P130" s="21"/>
      <c r="Q130" s="21"/>
      <c r="R130" s="21"/>
      <c r="S130" s="21"/>
      <c r="T130" s="21"/>
      <c r="U130" s="21" t="e">
        <f>Source!Y36</f>
        <v>#REF!</v>
      </c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 t="e">
        <f>IF(E123&gt;0,ROUND(Source!Y36/E123,2),0)</f>
        <v>#REF!</v>
      </c>
      <c r="DJ130" s="21"/>
      <c r="DK130" s="21"/>
      <c r="DL130" s="21"/>
      <c r="DM130" s="21"/>
      <c r="DN130" s="21"/>
      <c r="DO130" s="21"/>
      <c r="DP130" s="21"/>
      <c r="DQ130" s="21"/>
      <c r="DR130" s="21" t="e">
        <f>DI130</f>
        <v>#REF!</v>
      </c>
      <c r="DS130" s="21" t="e">
        <f>U130</f>
        <v>#REF!</v>
      </c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</row>
    <row r="131" spans="1:255" x14ac:dyDescent="0.2">
      <c r="A131" s="61"/>
      <c r="B131" s="62"/>
      <c r="C131" s="62" t="s">
        <v>585</v>
      </c>
      <c r="D131" s="63" t="s">
        <v>586</v>
      </c>
      <c r="E131" s="64">
        <v>158.68</v>
      </c>
      <c r="F131" s="65"/>
      <c r="G131" s="176">
        <f>Source!U36</f>
        <v>309.42599999999999</v>
      </c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</row>
    <row r="132" spans="1:255" ht="24" x14ac:dyDescent="0.2">
      <c r="A132" s="115" t="s">
        <v>96</v>
      </c>
      <c r="B132" s="116" t="s">
        <v>97</v>
      </c>
      <c r="C132" s="117" t="s">
        <v>98</v>
      </c>
      <c r="D132" s="118" t="s">
        <v>99</v>
      </c>
      <c r="E132" s="119">
        <f>Source!I37</f>
        <v>15</v>
      </c>
      <c r="F132" s="120" t="e">
        <f t="shared" ref="F132:F141" si="0">DI132</f>
        <v>#REF!</v>
      </c>
      <c r="G132" s="121" t="e">
        <f t="shared" ref="G132:G141" si="1">U132</f>
        <v>#REF!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 t="e">
        <f>Source!P37</f>
        <v>#REF!</v>
      </c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 t="e">
        <f>IF(E123&gt;0,ROUND(Source!P37/E123,2),0)</f>
        <v>#REF!</v>
      </c>
      <c r="DJ132" s="21"/>
      <c r="DK132" s="21"/>
      <c r="DL132" s="177" t="e">
        <f t="shared" ref="DL132:DL141" si="2">F132</f>
        <v>#REF!</v>
      </c>
      <c r="DM132" s="21" t="e">
        <f>Source!P37</f>
        <v>#REF!</v>
      </c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</row>
    <row r="133" spans="1:255" x14ac:dyDescent="0.2">
      <c r="A133" s="115" t="s">
        <v>101</v>
      </c>
      <c r="B133" s="116" t="s">
        <v>102</v>
      </c>
      <c r="C133" s="117" t="s">
        <v>103</v>
      </c>
      <c r="D133" s="118" t="s">
        <v>33</v>
      </c>
      <c r="E133" s="119">
        <f>Source!I38</f>
        <v>-7.9949999999999992</v>
      </c>
      <c r="F133" s="120" t="e">
        <f t="shared" si="0"/>
        <v>#REF!</v>
      </c>
      <c r="G133" s="121" t="e">
        <f t="shared" si="1"/>
        <v>#REF!</v>
      </c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 t="e">
        <f>Source!P38</f>
        <v>#REF!</v>
      </c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 t="e">
        <f>IF(E123&gt;0,ROUND(Source!P38/E123,2),0)</f>
        <v>#REF!</v>
      </c>
      <c r="DJ133" s="21"/>
      <c r="DK133" s="21"/>
      <c r="DL133" s="177" t="e">
        <f t="shared" si="2"/>
        <v>#REF!</v>
      </c>
      <c r="DM133" s="21" t="e">
        <f>Source!P38</f>
        <v>#REF!</v>
      </c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</row>
    <row r="134" spans="1:255" x14ac:dyDescent="0.2">
      <c r="A134" s="115" t="s">
        <v>105</v>
      </c>
      <c r="B134" s="116" t="s">
        <v>102</v>
      </c>
      <c r="C134" s="117" t="s">
        <v>103</v>
      </c>
      <c r="D134" s="118" t="s">
        <v>33</v>
      </c>
      <c r="E134" s="119">
        <f>Source!I39</f>
        <v>7.77</v>
      </c>
      <c r="F134" s="120" t="e">
        <f t="shared" si="0"/>
        <v>#REF!</v>
      </c>
      <c r="G134" s="121" t="e">
        <f t="shared" si="1"/>
        <v>#REF!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 t="e">
        <f>Source!P39</f>
        <v>#REF!</v>
      </c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 t="e">
        <f>IF(E123&gt;0,ROUND(Source!P39/E123,2),0)</f>
        <v>#REF!</v>
      </c>
      <c r="DJ134" s="21"/>
      <c r="DK134" s="21"/>
      <c r="DL134" s="177" t="e">
        <f t="shared" si="2"/>
        <v>#REF!</v>
      </c>
      <c r="DM134" s="21" t="e">
        <f>Source!P39</f>
        <v>#REF!</v>
      </c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</row>
    <row r="135" spans="1:255" ht="24" x14ac:dyDescent="0.2">
      <c r="A135" s="115" t="s">
        <v>106</v>
      </c>
      <c r="B135" s="116" t="s">
        <v>107</v>
      </c>
      <c r="C135" s="117" t="s">
        <v>108</v>
      </c>
      <c r="D135" s="118" t="s">
        <v>99</v>
      </c>
      <c r="E135" s="119">
        <f>Source!I40</f>
        <v>15</v>
      </c>
      <c r="F135" s="120" t="e">
        <f t="shared" si="0"/>
        <v>#REF!</v>
      </c>
      <c r="G135" s="121" t="e">
        <f t="shared" si="1"/>
        <v>#REF!</v>
      </c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 t="e">
        <f>Source!P40</f>
        <v>#REF!</v>
      </c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 t="e">
        <f>IF(E123&gt;0,ROUND(Source!P40/E123,2),0)</f>
        <v>#REF!</v>
      </c>
      <c r="DJ135" s="21"/>
      <c r="DK135" s="21"/>
      <c r="DL135" s="177" t="e">
        <f t="shared" si="2"/>
        <v>#REF!</v>
      </c>
      <c r="DM135" s="21" t="e">
        <f>Source!P40</f>
        <v>#REF!</v>
      </c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</row>
    <row r="136" spans="1:255" ht="24" x14ac:dyDescent="0.2">
      <c r="A136" s="115" t="s">
        <v>110</v>
      </c>
      <c r="B136" s="116" t="s">
        <v>111</v>
      </c>
      <c r="C136" s="117" t="s">
        <v>112</v>
      </c>
      <c r="D136" s="118" t="s">
        <v>99</v>
      </c>
      <c r="E136" s="119">
        <f>Source!I41</f>
        <v>15</v>
      </c>
      <c r="F136" s="120" t="e">
        <f t="shared" si="0"/>
        <v>#REF!</v>
      </c>
      <c r="G136" s="121" t="e">
        <f t="shared" si="1"/>
        <v>#REF!</v>
      </c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 t="e">
        <f>Source!P41</f>
        <v>#REF!</v>
      </c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 t="e">
        <f>IF(E123&gt;0,ROUND(Source!P41/E123,2),0)</f>
        <v>#REF!</v>
      </c>
      <c r="DJ136" s="21"/>
      <c r="DK136" s="21"/>
      <c r="DL136" s="177" t="e">
        <f t="shared" si="2"/>
        <v>#REF!</v>
      </c>
      <c r="DM136" s="21" t="e">
        <f>Source!P41</f>
        <v>#REF!</v>
      </c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</row>
    <row r="137" spans="1:255" ht="24" x14ac:dyDescent="0.2">
      <c r="A137" s="115" t="s">
        <v>114</v>
      </c>
      <c r="B137" s="116" t="s">
        <v>115</v>
      </c>
      <c r="C137" s="117" t="s">
        <v>116</v>
      </c>
      <c r="D137" s="118" t="s">
        <v>99</v>
      </c>
      <c r="E137" s="119">
        <f>Source!I42</f>
        <v>15</v>
      </c>
      <c r="F137" s="120" t="e">
        <f t="shared" si="0"/>
        <v>#REF!</v>
      </c>
      <c r="G137" s="121" t="e">
        <f t="shared" si="1"/>
        <v>#REF!</v>
      </c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 t="e">
        <f>Source!P42</f>
        <v>#REF!</v>
      </c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 t="e">
        <f>IF(E123&gt;0,ROUND(Source!P42/E123,2),0)</f>
        <v>#REF!</v>
      </c>
      <c r="DJ137" s="21"/>
      <c r="DK137" s="21"/>
      <c r="DL137" s="177" t="e">
        <f t="shared" si="2"/>
        <v>#REF!</v>
      </c>
      <c r="DM137" s="21" t="e">
        <f>Source!P42</f>
        <v>#REF!</v>
      </c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</row>
    <row r="138" spans="1:255" ht="24" x14ac:dyDescent="0.2">
      <c r="A138" s="115" t="s">
        <v>118</v>
      </c>
      <c r="B138" s="116" t="s">
        <v>119</v>
      </c>
      <c r="C138" s="117" t="s">
        <v>120</v>
      </c>
      <c r="D138" s="118" t="s">
        <v>99</v>
      </c>
      <c r="E138" s="119">
        <f>Source!I43</f>
        <v>15</v>
      </c>
      <c r="F138" s="120" t="e">
        <f t="shared" si="0"/>
        <v>#REF!</v>
      </c>
      <c r="G138" s="121" t="e">
        <f t="shared" si="1"/>
        <v>#REF!</v>
      </c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 t="e">
        <f>Source!P43</f>
        <v>#REF!</v>
      </c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 t="e">
        <f>IF(E123&gt;0,ROUND(Source!P43/E123,2),0)</f>
        <v>#REF!</v>
      </c>
      <c r="DJ138" s="21"/>
      <c r="DK138" s="21"/>
      <c r="DL138" s="177" t="e">
        <f t="shared" si="2"/>
        <v>#REF!</v>
      </c>
      <c r="DM138" s="21" t="e">
        <f>Source!P43</f>
        <v>#REF!</v>
      </c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</row>
    <row r="139" spans="1:255" ht="24" x14ac:dyDescent="0.2">
      <c r="A139" s="115" t="s">
        <v>122</v>
      </c>
      <c r="B139" s="116" t="s">
        <v>123</v>
      </c>
      <c r="C139" s="117" t="s">
        <v>124</v>
      </c>
      <c r="D139" s="118" t="s">
        <v>99</v>
      </c>
      <c r="E139" s="119">
        <f>Source!I44</f>
        <v>15</v>
      </c>
      <c r="F139" s="120" t="e">
        <f t="shared" si="0"/>
        <v>#REF!</v>
      </c>
      <c r="G139" s="121" t="e">
        <f t="shared" si="1"/>
        <v>#REF!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 t="e">
        <f>Source!P44</f>
        <v>#REF!</v>
      </c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 t="e">
        <f>IF(E123&gt;0,ROUND(Source!P44/E123,2),0)</f>
        <v>#REF!</v>
      </c>
      <c r="DJ139" s="21"/>
      <c r="DK139" s="21"/>
      <c r="DL139" s="177" t="e">
        <f t="shared" si="2"/>
        <v>#REF!</v>
      </c>
      <c r="DM139" s="21" t="e">
        <f>Source!P44</f>
        <v>#REF!</v>
      </c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</row>
    <row r="140" spans="1:255" ht="24" x14ac:dyDescent="0.2">
      <c r="A140" s="115" t="s">
        <v>126</v>
      </c>
      <c r="B140" s="116" t="s">
        <v>127</v>
      </c>
      <c r="C140" s="117" t="s">
        <v>128</v>
      </c>
      <c r="D140" s="118" t="s">
        <v>129</v>
      </c>
      <c r="E140" s="119">
        <f>Source!I45</f>
        <v>0.183</v>
      </c>
      <c r="F140" s="120" t="e">
        <f t="shared" si="0"/>
        <v>#REF!</v>
      </c>
      <c r="G140" s="121" t="e">
        <f t="shared" si="1"/>
        <v>#REF!</v>
      </c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 t="e">
        <f>Source!P45</f>
        <v>#REF!</v>
      </c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 t="e">
        <f>IF(E123&gt;0,ROUND(Source!P45/E123,2),0)</f>
        <v>#REF!</v>
      </c>
      <c r="DJ140" s="21"/>
      <c r="DK140" s="21"/>
      <c r="DL140" s="177" t="e">
        <f t="shared" si="2"/>
        <v>#REF!</v>
      </c>
      <c r="DM140" s="21" t="e">
        <f>Source!P45</f>
        <v>#REF!</v>
      </c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</row>
    <row r="141" spans="1:255" x14ac:dyDescent="0.2">
      <c r="A141" s="115" t="s">
        <v>131</v>
      </c>
      <c r="B141" s="116" t="s">
        <v>132</v>
      </c>
      <c r="C141" s="117" t="s">
        <v>133</v>
      </c>
      <c r="D141" s="118" t="s">
        <v>99</v>
      </c>
      <c r="E141" s="119">
        <f>Source!I46</f>
        <v>15</v>
      </c>
      <c r="F141" s="120" t="e">
        <f t="shared" si="0"/>
        <v>#REF!</v>
      </c>
      <c r="G141" s="121" t="e">
        <f t="shared" si="1"/>
        <v>#REF!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 t="e">
        <f>Source!P46</f>
        <v>#REF!</v>
      </c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 t="e">
        <f>IF(E123&gt;0,ROUND(Source!P46/E123,2),0)</f>
        <v>#REF!</v>
      </c>
      <c r="DJ141" s="21"/>
      <c r="DK141" s="21"/>
      <c r="DL141" s="177" t="e">
        <f t="shared" si="2"/>
        <v>#REF!</v>
      </c>
      <c r="DM141" s="21" t="e">
        <f>Source!P46</f>
        <v>#REF!</v>
      </c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</row>
    <row r="142" spans="1:255" x14ac:dyDescent="0.2">
      <c r="A142" s="75"/>
      <c r="B142" s="114" t="s">
        <v>590</v>
      </c>
      <c r="C142" s="114" t="s">
        <v>592</v>
      </c>
      <c r="D142" s="31"/>
      <c r="E142" s="31"/>
      <c r="F142" s="31"/>
      <c r="G142" s="76"/>
    </row>
    <row r="143" spans="1:255" ht="13.5" thickBot="1" x14ac:dyDescent="0.25">
      <c r="A143" s="89"/>
      <c r="B143" s="90"/>
      <c r="C143" s="90" t="s">
        <v>587</v>
      </c>
      <c r="D143" s="90"/>
      <c r="E143" s="90"/>
      <c r="F143" s="178" t="e">
        <f>SUM(DL123:DL142)</f>
        <v>#REF!</v>
      </c>
      <c r="G143" s="179" t="e">
        <f>SUM(DM123:DM142)</f>
        <v>#REF!</v>
      </c>
      <c r="H143" s="84"/>
      <c r="I143" s="84"/>
      <c r="J143" s="84"/>
      <c r="K143" s="84"/>
      <c r="L143" s="84"/>
      <c r="M143" s="84"/>
      <c r="N143" s="84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</row>
    <row r="144" spans="1:255" x14ac:dyDescent="0.2">
      <c r="A144" s="86"/>
      <c r="B144" s="85"/>
      <c r="C144" s="85" t="s">
        <v>588</v>
      </c>
      <c r="D144" s="85"/>
      <c r="E144" s="85"/>
      <c r="F144" s="87" t="e">
        <f>SUM(DI123:DI143)</f>
        <v>#REF!</v>
      </c>
      <c r="G144" s="88" t="e">
        <f>S144</f>
        <v>#REF!</v>
      </c>
      <c r="O144" s="21"/>
      <c r="P144" s="21"/>
      <c r="Q144" s="21"/>
      <c r="R144" s="21"/>
      <c r="S144" s="21" t="e">
        <f>SUM(U123:U143)</f>
        <v>#REF!</v>
      </c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</row>
    <row r="145" spans="1:255" x14ac:dyDescent="0.2">
      <c r="A145" s="59"/>
      <c r="B145" s="58"/>
      <c r="C145" s="58"/>
      <c r="D145" s="58"/>
      <c r="E145" s="58"/>
      <c r="F145" s="58"/>
      <c r="G145" s="60"/>
    </row>
    <row r="146" spans="1:255" ht="36" x14ac:dyDescent="0.2">
      <c r="A146" s="91">
        <v>9</v>
      </c>
      <c r="B146" s="97" t="s">
        <v>138</v>
      </c>
      <c r="C146" s="92" t="s">
        <v>139</v>
      </c>
      <c r="D146" s="93" t="s">
        <v>68</v>
      </c>
      <c r="E146" s="94">
        <v>0.34</v>
      </c>
      <c r="F146" s="95" t="e">
        <f>IF(E146&gt;0,ROUND((Source!O47+Source!X47+Source!Y47)/E146,2),0)</f>
        <v>#REF!</v>
      </c>
      <c r="G146" s="96" t="e">
        <f>SUM(DS146:DS165)</f>
        <v>#REF!</v>
      </c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</row>
    <row r="147" spans="1:255" x14ac:dyDescent="0.2">
      <c r="A147" s="55"/>
      <c r="B147" s="57" t="str">
        <f>IF(Source!I47=0.34," Расчет объема","")</f>
        <v xml:space="preserve"> Расчет объема</v>
      </c>
      <c r="C147" s="57" t="str">
        <f>IF(Source!I47=0.34,"   3,4/10 = 0,34","")</f>
        <v xml:space="preserve">   3,4/10 = 0,34</v>
      </c>
      <c r="D147" s="54"/>
      <c r="E147" s="54"/>
      <c r="F147" s="54"/>
      <c r="G147" s="56"/>
    </row>
    <row r="148" spans="1:255" x14ac:dyDescent="0.2">
      <c r="A148" s="61"/>
      <c r="B148" s="62"/>
      <c r="C148" s="62" t="s">
        <v>578</v>
      </c>
      <c r="D148" s="63"/>
      <c r="E148" s="64"/>
      <c r="F148" s="65" t="e">
        <f>DI148</f>
        <v>#REF!</v>
      </c>
      <c r="G148" s="66" t="e">
        <f>U148</f>
        <v>#REF!</v>
      </c>
      <c r="O148" s="21"/>
      <c r="P148" s="21"/>
      <c r="Q148" s="21"/>
      <c r="R148" s="21"/>
      <c r="S148" s="21"/>
      <c r="T148" s="21"/>
      <c r="U148" s="21" t="e">
        <f>Source!S47</f>
        <v>#REF!</v>
      </c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 t="e">
        <f>Source!S47</f>
        <v>#REF!</v>
      </c>
      <c r="DH148" s="21">
        <v>1</v>
      </c>
      <c r="DI148" s="21" t="e">
        <f>IF(E146&gt;0,ROUND(Source!S47/E146,2),0)</f>
        <v>#REF!</v>
      </c>
      <c r="DJ148" s="21"/>
      <c r="DK148" s="21"/>
      <c r="DL148" s="21"/>
      <c r="DM148" s="21"/>
      <c r="DN148" s="21"/>
      <c r="DO148" s="21"/>
      <c r="DP148" s="21"/>
      <c r="DQ148" s="21"/>
      <c r="DR148" s="21" t="e">
        <f>DI148</f>
        <v>#REF!</v>
      </c>
      <c r="DS148" s="21" t="e">
        <f>U148</f>
        <v>#REF!</v>
      </c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</row>
    <row r="149" spans="1:255" x14ac:dyDescent="0.2">
      <c r="A149" s="61"/>
      <c r="B149" s="62"/>
      <c r="C149" s="62" t="s">
        <v>579</v>
      </c>
      <c r="D149" s="63"/>
      <c r="E149" s="64"/>
      <c r="F149" s="65" t="e">
        <f>DI149</f>
        <v>#REF!</v>
      </c>
      <c r="G149" s="66" t="e">
        <f>U149</f>
        <v>#REF!</v>
      </c>
      <c r="O149" s="21"/>
      <c r="P149" s="21"/>
      <c r="Q149" s="21"/>
      <c r="R149" s="21"/>
      <c r="S149" s="21"/>
      <c r="T149" s="21"/>
      <c r="U149" s="21" t="e">
        <f>Source!Q47</f>
        <v>#REF!</v>
      </c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 t="e">
        <f>IF(E146&gt;0,ROUND(Source!Q47/E146,2),0)</f>
        <v>#REF!</v>
      </c>
      <c r="DJ149" s="21"/>
      <c r="DK149" s="21"/>
      <c r="DL149" s="21"/>
      <c r="DM149" s="21"/>
      <c r="DN149" s="21"/>
      <c r="DO149" s="21"/>
      <c r="DP149" s="21"/>
      <c r="DQ149" s="21"/>
      <c r="DR149" s="21" t="e">
        <f>DI149</f>
        <v>#REF!</v>
      </c>
      <c r="DS149" s="21" t="e">
        <f>U149</f>
        <v>#REF!</v>
      </c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</row>
    <row r="150" spans="1:255" x14ac:dyDescent="0.2">
      <c r="A150" s="61"/>
      <c r="B150" s="62"/>
      <c r="C150" s="62" t="s">
        <v>580</v>
      </c>
      <c r="D150" s="63"/>
      <c r="E150" s="64"/>
      <c r="F150" s="65" t="e">
        <f>IF(E146&gt;0,ROUND(Source!R47/E146,2),0)</f>
        <v>#REF!</v>
      </c>
      <c r="G150" s="66" t="e">
        <f>Source!R47</f>
        <v>#REF!</v>
      </c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</row>
    <row r="151" spans="1:255" x14ac:dyDescent="0.2">
      <c r="A151" s="61"/>
      <c r="B151" s="62"/>
      <c r="C151" s="62" t="s">
        <v>581</v>
      </c>
      <c r="D151" s="63"/>
      <c r="E151" s="64"/>
      <c r="F151" s="65" t="e">
        <f>DI151</f>
        <v>#REF!</v>
      </c>
      <c r="G151" s="66" t="e">
        <f>U151</f>
        <v>#REF!</v>
      </c>
      <c r="O151" s="21"/>
      <c r="P151" s="21"/>
      <c r="Q151" s="21"/>
      <c r="R151" s="21"/>
      <c r="S151" s="21"/>
      <c r="T151" s="21"/>
      <c r="U151" s="21" t="e">
        <f>Source!P47</f>
        <v>#REF!</v>
      </c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 t="e">
        <f>IF(E146&gt;0,ROUND(Source!P47/E146,2),0)</f>
        <v>#REF!</v>
      </c>
      <c r="DJ151" s="21"/>
      <c r="DK151" s="21"/>
      <c r="DL151" s="21" t="e">
        <f>DI151</f>
        <v>#REF!</v>
      </c>
      <c r="DM151" s="21" t="e">
        <f>U151</f>
        <v>#REF!</v>
      </c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</row>
    <row r="152" spans="1:255" x14ac:dyDescent="0.2">
      <c r="A152" s="68"/>
      <c r="B152" s="69"/>
      <c r="C152" s="69" t="s">
        <v>582</v>
      </c>
      <c r="D152" s="70" t="s">
        <v>583</v>
      </c>
      <c r="E152" s="71">
        <v>117</v>
      </c>
      <c r="F152" s="72" t="e">
        <f>DI152</f>
        <v>#REF!</v>
      </c>
      <c r="G152" s="73" t="e">
        <f>U152</f>
        <v>#REF!</v>
      </c>
      <c r="O152" s="21"/>
      <c r="P152" s="21"/>
      <c r="Q152" s="21"/>
      <c r="R152" s="21"/>
      <c r="S152" s="21"/>
      <c r="T152" s="21"/>
      <c r="U152" s="21" t="e">
        <f>Source!X47</f>
        <v>#REF!</v>
      </c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 t="e">
        <f>IF(E146&gt;0,ROUND(Source!X47/E146,2),0)</f>
        <v>#REF!</v>
      </c>
      <c r="DJ152" s="21"/>
      <c r="DK152" s="21"/>
      <c r="DL152" s="21"/>
      <c r="DM152" s="21"/>
      <c r="DN152" s="21"/>
      <c r="DO152" s="21"/>
      <c r="DP152" s="21"/>
      <c r="DQ152" s="21"/>
      <c r="DR152" s="21" t="e">
        <f>DI152</f>
        <v>#REF!</v>
      </c>
      <c r="DS152" s="21" t="e">
        <f>U152</f>
        <v>#REF!</v>
      </c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</row>
    <row r="153" spans="1:255" x14ac:dyDescent="0.2">
      <c r="A153" s="68"/>
      <c r="B153" s="69"/>
      <c r="C153" s="69" t="s">
        <v>584</v>
      </c>
      <c r="D153" s="70" t="s">
        <v>583</v>
      </c>
      <c r="E153" s="71">
        <v>74</v>
      </c>
      <c r="F153" s="72" t="e">
        <f>DI153</f>
        <v>#REF!</v>
      </c>
      <c r="G153" s="73" t="e">
        <f>U153</f>
        <v>#REF!</v>
      </c>
      <c r="O153" s="21"/>
      <c r="P153" s="21"/>
      <c r="Q153" s="21"/>
      <c r="R153" s="21"/>
      <c r="S153" s="21"/>
      <c r="T153" s="21"/>
      <c r="U153" s="21" t="e">
        <f>Source!Y47</f>
        <v>#REF!</v>
      </c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 t="e">
        <f>IF(E146&gt;0,ROUND(Source!Y47/E146,2),0)</f>
        <v>#REF!</v>
      </c>
      <c r="DJ153" s="21"/>
      <c r="DK153" s="21"/>
      <c r="DL153" s="21"/>
      <c r="DM153" s="21"/>
      <c r="DN153" s="21"/>
      <c r="DO153" s="21"/>
      <c r="DP153" s="21"/>
      <c r="DQ153" s="21"/>
      <c r="DR153" s="21" t="e">
        <f>DI153</f>
        <v>#REF!</v>
      </c>
      <c r="DS153" s="21" t="e">
        <f>U153</f>
        <v>#REF!</v>
      </c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</row>
    <row r="154" spans="1:255" x14ac:dyDescent="0.2">
      <c r="A154" s="61"/>
      <c r="B154" s="62"/>
      <c r="C154" s="62" t="s">
        <v>585</v>
      </c>
      <c r="D154" s="63" t="s">
        <v>586</v>
      </c>
      <c r="E154" s="64">
        <v>111.6</v>
      </c>
      <c r="F154" s="65"/>
      <c r="G154" s="176">
        <f>Source!U47</f>
        <v>37.944000000000003</v>
      </c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</row>
    <row r="155" spans="1:255" ht="24" x14ac:dyDescent="0.2">
      <c r="A155" s="115" t="s">
        <v>141</v>
      </c>
      <c r="B155" s="116" t="s">
        <v>142</v>
      </c>
      <c r="C155" s="117" t="s">
        <v>143</v>
      </c>
      <c r="D155" s="118" t="s">
        <v>99</v>
      </c>
      <c r="E155" s="119">
        <f>Source!I48</f>
        <v>1</v>
      </c>
      <c r="F155" s="120" t="e">
        <f t="shared" ref="F155:F161" si="3">DI155</f>
        <v>#REF!</v>
      </c>
      <c r="G155" s="121" t="e">
        <f t="shared" ref="G155:G161" si="4">U155</f>
        <v>#REF!</v>
      </c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 t="e">
        <f>Source!P48</f>
        <v>#REF!</v>
      </c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 t="e">
        <f>IF(E146&gt;0,ROUND(Source!P48/E146,2),0)</f>
        <v>#REF!</v>
      </c>
      <c r="DJ155" s="21"/>
      <c r="DK155" s="21"/>
      <c r="DL155" s="177" t="e">
        <f t="shared" ref="DL155:DL161" si="5">F155</f>
        <v>#REF!</v>
      </c>
      <c r="DM155" s="21" t="e">
        <f>Source!P48</f>
        <v>#REF!</v>
      </c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</row>
    <row r="156" spans="1:255" ht="24" x14ac:dyDescent="0.2">
      <c r="A156" s="115" t="s">
        <v>145</v>
      </c>
      <c r="B156" s="116" t="s">
        <v>146</v>
      </c>
      <c r="C156" s="117" t="s">
        <v>147</v>
      </c>
      <c r="D156" s="118" t="s">
        <v>99</v>
      </c>
      <c r="E156" s="119">
        <f>Source!I49</f>
        <v>2</v>
      </c>
      <c r="F156" s="120" t="e">
        <f t="shared" si="3"/>
        <v>#REF!</v>
      </c>
      <c r="G156" s="121" t="e">
        <f t="shared" si="4"/>
        <v>#REF!</v>
      </c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 t="e">
        <f>Source!P49</f>
        <v>#REF!</v>
      </c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 t="e">
        <f>IF(E146&gt;0,ROUND(Source!P49/E146,2),0)</f>
        <v>#REF!</v>
      </c>
      <c r="DJ156" s="21"/>
      <c r="DK156" s="21"/>
      <c r="DL156" s="177" t="e">
        <f t="shared" si="5"/>
        <v>#REF!</v>
      </c>
      <c r="DM156" s="21" t="e">
        <f>Source!P49</f>
        <v>#REF!</v>
      </c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</row>
    <row r="157" spans="1:255" ht="24" x14ac:dyDescent="0.2">
      <c r="A157" s="115" t="s">
        <v>149</v>
      </c>
      <c r="B157" s="116" t="s">
        <v>150</v>
      </c>
      <c r="C157" s="117" t="s">
        <v>151</v>
      </c>
      <c r="D157" s="118" t="s">
        <v>99</v>
      </c>
      <c r="E157" s="119">
        <f>Source!I50</f>
        <v>1</v>
      </c>
      <c r="F157" s="120" t="e">
        <f t="shared" si="3"/>
        <v>#REF!</v>
      </c>
      <c r="G157" s="121" t="e">
        <f t="shared" si="4"/>
        <v>#REF!</v>
      </c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 t="e">
        <f>Source!P50</f>
        <v>#REF!</v>
      </c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 t="e">
        <f>IF(E146&gt;0,ROUND(Source!P50/E146,2),0)</f>
        <v>#REF!</v>
      </c>
      <c r="DJ157" s="21"/>
      <c r="DK157" s="21"/>
      <c r="DL157" s="177" t="e">
        <f t="shared" si="5"/>
        <v>#REF!</v>
      </c>
      <c r="DM157" s="21" t="e">
        <f>Source!P50</f>
        <v>#REF!</v>
      </c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</row>
    <row r="158" spans="1:255" ht="24" x14ac:dyDescent="0.2">
      <c r="A158" s="115" t="s">
        <v>153</v>
      </c>
      <c r="B158" s="116" t="s">
        <v>115</v>
      </c>
      <c r="C158" s="117" t="s">
        <v>116</v>
      </c>
      <c r="D158" s="118" t="s">
        <v>99</v>
      </c>
      <c r="E158" s="119">
        <f>Source!I51</f>
        <v>1</v>
      </c>
      <c r="F158" s="120" t="e">
        <f t="shared" si="3"/>
        <v>#REF!</v>
      </c>
      <c r="G158" s="121" t="e">
        <f t="shared" si="4"/>
        <v>#REF!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 t="e">
        <f>Source!P51</f>
        <v>#REF!</v>
      </c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 t="e">
        <f>IF(E146&gt;0,ROUND(Source!P51/E146,2),0)</f>
        <v>#REF!</v>
      </c>
      <c r="DJ158" s="21"/>
      <c r="DK158" s="21"/>
      <c r="DL158" s="177" t="e">
        <f t="shared" si="5"/>
        <v>#REF!</v>
      </c>
      <c r="DM158" s="21" t="e">
        <f>Source!P51</f>
        <v>#REF!</v>
      </c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</row>
    <row r="159" spans="1:255" x14ac:dyDescent="0.2">
      <c r="A159" s="115" t="s">
        <v>154</v>
      </c>
      <c r="B159" s="116" t="s">
        <v>155</v>
      </c>
      <c r="C159" s="117" t="s">
        <v>156</v>
      </c>
      <c r="D159" s="118" t="s">
        <v>33</v>
      </c>
      <c r="E159" s="119">
        <f>Source!I52</f>
        <v>0.154</v>
      </c>
      <c r="F159" s="120" t="e">
        <f t="shared" si="3"/>
        <v>#REF!</v>
      </c>
      <c r="G159" s="121" t="e">
        <f t="shared" si="4"/>
        <v>#REF!</v>
      </c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 t="e">
        <f>Source!P52</f>
        <v>#REF!</v>
      </c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 t="e">
        <f>IF(E146&gt;0,ROUND(Source!P52/E146,2),0)</f>
        <v>#REF!</v>
      </c>
      <c r="DJ159" s="21"/>
      <c r="DK159" s="21"/>
      <c r="DL159" s="177" t="e">
        <f t="shared" si="5"/>
        <v>#REF!</v>
      </c>
      <c r="DM159" s="21" t="e">
        <f>Source!P52</f>
        <v>#REF!</v>
      </c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</row>
    <row r="160" spans="1:255" ht="24" x14ac:dyDescent="0.2">
      <c r="A160" s="115" t="s">
        <v>158</v>
      </c>
      <c r="B160" s="116" t="s">
        <v>127</v>
      </c>
      <c r="C160" s="117" t="s">
        <v>128</v>
      </c>
      <c r="D160" s="118" t="s">
        <v>129</v>
      </c>
      <c r="E160" s="119">
        <f>Source!I53</f>
        <v>1.6199999999999999E-2</v>
      </c>
      <c r="F160" s="120" t="e">
        <f t="shared" si="3"/>
        <v>#REF!</v>
      </c>
      <c r="G160" s="121" t="e">
        <f t="shared" si="4"/>
        <v>#REF!</v>
      </c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 t="e">
        <f>Source!P53</f>
        <v>#REF!</v>
      </c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 t="e">
        <f>IF(E146&gt;0,ROUND(Source!P53/E146,2),0)</f>
        <v>#REF!</v>
      </c>
      <c r="DJ160" s="21"/>
      <c r="DK160" s="21"/>
      <c r="DL160" s="177" t="e">
        <f t="shared" si="5"/>
        <v>#REF!</v>
      </c>
      <c r="DM160" s="21" t="e">
        <f>Source!P53</f>
        <v>#REF!</v>
      </c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</row>
    <row r="161" spans="1:255" x14ac:dyDescent="0.2">
      <c r="A161" s="77" t="s">
        <v>159</v>
      </c>
      <c r="B161" s="83" t="s">
        <v>132</v>
      </c>
      <c r="C161" s="78" t="s">
        <v>133</v>
      </c>
      <c r="D161" s="79" t="s">
        <v>99</v>
      </c>
      <c r="E161" s="80">
        <f>Source!I54</f>
        <v>1</v>
      </c>
      <c r="F161" s="81" t="e">
        <f t="shared" si="3"/>
        <v>#REF!</v>
      </c>
      <c r="G161" s="82" t="e">
        <f t="shared" si="4"/>
        <v>#REF!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 t="e">
        <f>Source!P54</f>
        <v>#REF!</v>
      </c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 t="e">
        <f>IF(E146&gt;0,ROUND(Source!P54/E146,2),0)</f>
        <v>#REF!</v>
      </c>
      <c r="DJ161" s="21"/>
      <c r="DK161" s="21"/>
      <c r="DL161" s="177" t="e">
        <f t="shared" si="5"/>
        <v>#REF!</v>
      </c>
      <c r="DM161" s="21" t="e">
        <f>Source!P54</f>
        <v>#REF!</v>
      </c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</row>
    <row r="162" spans="1:255" x14ac:dyDescent="0.2">
      <c r="A162" s="55"/>
      <c r="B162" s="113" t="s">
        <v>590</v>
      </c>
      <c r="C162" s="113" t="s">
        <v>592</v>
      </c>
      <c r="D162" s="54"/>
      <c r="E162" s="54"/>
      <c r="F162" s="54"/>
      <c r="G162" s="56"/>
    </row>
    <row r="163" spans="1:255" x14ac:dyDescent="0.2">
      <c r="A163" s="115" t="s">
        <v>160</v>
      </c>
      <c r="B163" s="116" t="s">
        <v>102</v>
      </c>
      <c r="C163" s="117" t="s">
        <v>103</v>
      </c>
      <c r="D163" s="118" t="s">
        <v>33</v>
      </c>
      <c r="E163" s="119">
        <f>Source!I55</f>
        <v>-1.7680000000000002</v>
      </c>
      <c r="F163" s="120" t="e">
        <f>DI163</f>
        <v>#REF!</v>
      </c>
      <c r="G163" s="121" t="e">
        <f>U163</f>
        <v>#REF!</v>
      </c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 t="e">
        <f>Source!P55</f>
        <v>#REF!</v>
      </c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 t="e">
        <f>IF(E146&gt;0,ROUND(Source!P55/E146,2),0)</f>
        <v>#REF!</v>
      </c>
      <c r="DJ163" s="21"/>
      <c r="DK163" s="21"/>
      <c r="DL163" s="177" t="e">
        <f>F163</f>
        <v>#REF!</v>
      </c>
      <c r="DM163" s="21" t="e">
        <f>Source!P55</f>
        <v>#REF!</v>
      </c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</row>
    <row r="164" spans="1:255" x14ac:dyDescent="0.2">
      <c r="A164" s="77" t="s">
        <v>161</v>
      </c>
      <c r="B164" s="83" t="s">
        <v>102</v>
      </c>
      <c r="C164" s="78" t="s">
        <v>103</v>
      </c>
      <c r="D164" s="79" t="s">
        <v>33</v>
      </c>
      <c r="E164" s="80">
        <f>Source!I56</f>
        <v>1.7679999999999998</v>
      </c>
      <c r="F164" s="81" t="e">
        <f>DI164</f>
        <v>#REF!</v>
      </c>
      <c r="G164" s="82" t="e">
        <f>U164</f>
        <v>#REF!</v>
      </c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 t="e">
        <f>Source!P56</f>
        <v>#REF!</v>
      </c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 t="e">
        <f>IF(E146&gt;0,ROUND(Source!P56/E146,2),0)</f>
        <v>#REF!</v>
      </c>
      <c r="DJ164" s="21"/>
      <c r="DK164" s="21"/>
      <c r="DL164" s="177" t="e">
        <f>F164</f>
        <v>#REF!</v>
      </c>
      <c r="DM164" s="21" t="e">
        <f>Source!P56</f>
        <v>#REF!</v>
      </c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</row>
    <row r="165" spans="1:255" ht="13.5" thickBot="1" x14ac:dyDescent="0.25">
      <c r="A165" s="89"/>
      <c r="B165" s="90"/>
      <c r="C165" s="90" t="s">
        <v>587</v>
      </c>
      <c r="D165" s="90"/>
      <c r="E165" s="90"/>
      <c r="F165" s="178" t="e">
        <f>SUM(DL146:DL164)</f>
        <v>#REF!</v>
      </c>
      <c r="G165" s="179" t="e">
        <f>SUM(DM146:DM164)</f>
        <v>#REF!</v>
      </c>
      <c r="H165" s="84"/>
      <c r="I165" s="84"/>
      <c r="J165" s="84"/>
      <c r="K165" s="84"/>
      <c r="L165" s="84"/>
      <c r="M165" s="84"/>
      <c r="N165" s="84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</row>
    <row r="166" spans="1:255" x14ac:dyDescent="0.2">
      <c r="A166" s="86"/>
      <c r="B166" s="85"/>
      <c r="C166" s="85" t="s">
        <v>588</v>
      </c>
      <c r="D166" s="85"/>
      <c r="E166" s="85"/>
      <c r="F166" s="87" t="e">
        <f>SUM(DI146:DI165)</f>
        <v>#REF!</v>
      </c>
      <c r="G166" s="88" t="e">
        <f>S166</f>
        <v>#REF!</v>
      </c>
      <c r="O166" s="21"/>
      <c r="P166" s="21"/>
      <c r="Q166" s="21"/>
      <c r="R166" s="21"/>
      <c r="S166" s="21" t="e">
        <f>SUM(U146:U165)</f>
        <v>#REF!</v>
      </c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</row>
    <row r="167" spans="1:255" x14ac:dyDescent="0.2">
      <c r="A167" s="59"/>
      <c r="B167" s="58"/>
      <c r="C167" s="58"/>
      <c r="D167" s="58"/>
      <c r="E167" s="58"/>
      <c r="F167" s="58"/>
      <c r="G167" s="60"/>
    </row>
    <row r="168" spans="1:255" ht="36" x14ac:dyDescent="0.2">
      <c r="A168" s="91">
        <v>10</v>
      </c>
      <c r="B168" s="97" t="s">
        <v>163</v>
      </c>
      <c r="C168" s="92" t="s">
        <v>164</v>
      </c>
      <c r="D168" s="93" t="s">
        <v>68</v>
      </c>
      <c r="E168" s="94">
        <v>0.78</v>
      </c>
      <c r="F168" s="95" t="e">
        <f>IF(E168&gt;0,ROUND((Source!O57+Source!X57+Source!Y57)/E168,2),0)</f>
        <v>#REF!</v>
      </c>
      <c r="G168" s="96" t="e">
        <f>SUM(DS168:DS184)</f>
        <v>#REF!</v>
      </c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</row>
    <row r="169" spans="1:255" x14ac:dyDescent="0.2">
      <c r="A169" s="55"/>
      <c r="B169" s="57" t="str">
        <f>IF(Source!I57=0.78," Расчет объема","")</f>
        <v xml:space="preserve"> Расчет объема</v>
      </c>
      <c r="C169" s="57" t="str">
        <f>IF(Source!I57=0.78,"   7,8/10 = 0,78","")</f>
        <v xml:space="preserve">   7,8/10 = 0,78</v>
      </c>
      <c r="D169" s="54"/>
      <c r="E169" s="54"/>
      <c r="F169" s="54"/>
      <c r="G169" s="56"/>
    </row>
    <row r="170" spans="1:255" x14ac:dyDescent="0.2">
      <c r="A170" s="61"/>
      <c r="B170" s="62"/>
      <c r="C170" s="62" t="s">
        <v>578</v>
      </c>
      <c r="D170" s="63"/>
      <c r="E170" s="64"/>
      <c r="F170" s="65" t="e">
        <f>DI170</f>
        <v>#REF!</v>
      </c>
      <c r="G170" s="66" t="e">
        <f>U170</f>
        <v>#REF!</v>
      </c>
      <c r="O170" s="21"/>
      <c r="P170" s="21"/>
      <c r="Q170" s="21"/>
      <c r="R170" s="21"/>
      <c r="S170" s="21"/>
      <c r="T170" s="21"/>
      <c r="U170" s="21" t="e">
        <f>Source!S57</f>
        <v>#REF!</v>
      </c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 t="e">
        <f>Source!S57</f>
        <v>#REF!</v>
      </c>
      <c r="DH170" s="21">
        <v>1</v>
      </c>
      <c r="DI170" s="21" t="e">
        <f>IF(E168&gt;0,ROUND(Source!S57/E168,2),0)</f>
        <v>#REF!</v>
      </c>
      <c r="DJ170" s="21"/>
      <c r="DK170" s="21"/>
      <c r="DL170" s="21"/>
      <c r="DM170" s="21"/>
      <c r="DN170" s="21"/>
      <c r="DO170" s="21"/>
      <c r="DP170" s="21"/>
      <c r="DQ170" s="21"/>
      <c r="DR170" s="21" t="e">
        <f>DI170</f>
        <v>#REF!</v>
      </c>
      <c r="DS170" s="21" t="e">
        <f>U170</f>
        <v>#REF!</v>
      </c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</row>
    <row r="171" spans="1:255" x14ac:dyDescent="0.2">
      <c r="A171" s="61"/>
      <c r="B171" s="62"/>
      <c r="C171" s="62" t="s">
        <v>579</v>
      </c>
      <c r="D171" s="63"/>
      <c r="E171" s="64"/>
      <c r="F171" s="65" t="e">
        <f>DI171</f>
        <v>#REF!</v>
      </c>
      <c r="G171" s="66" t="e">
        <f>U171</f>
        <v>#REF!</v>
      </c>
      <c r="O171" s="21"/>
      <c r="P171" s="21"/>
      <c r="Q171" s="21"/>
      <c r="R171" s="21"/>
      <c r="S171" s="21"/>
      <c r="T171" s="21"/>
      <c r="U171" s="21" t="e">
        <f>Source!Q57</f>
        <v>#REF!</v>
      </c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 t="e">
        <f>IF(E168&gt;0,ROUND(Source!Q57/E168,2),0)</f>
        <v>#REF!</v>
      </c>
      <c r="DJ171" s="21"/>
      <c r="DK171" s="21"/>
      <c r="DL171" s="21"/>
      <c r="DM171" s="21"/>
      <c r="DN171" s="21"/>
      <c r="DO171" s="21"/>
      <c r="DP171" s="21"/>
      <c r="DQ171" s="21"/>
      <c r="DR171" s="21" t="e">
        <f>DI171</f>
        <v>#REF!</v>
      </c>
      <c r="DS171" s="21" t="e">
        <f>U171</f>
        <v>#REF!</v>
      </c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</row>
    <row r="172" spans="1:255" x14ac:dyDescent="0.2">
      <c r="A172" s="61"/>
      <c r="B172" s="62"/>
      <c r="C172" s="62" t="s">
        <v>580</v>
      </c>
      <c r="D172" s="63"/>
      <c r="E172" s="64"/>
      <c r="F172" s="65" t="e">
        <f>IF(E168&gt;0,ROUND(Source!R57/E168,2),0)</f>
        <v>#REF!</v>
      </c>
      <c r="G172" s="66" t="e">
        <f>Source!R57</f>
        <v>#REF!</v>
      </c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</row>
    <row r="173" spans="1:255" x14ac:dyDescent="0.2">
      <c r="A173" s="61"/>
      <c r="B173" s="62"/>
      <c r="C173" s="62" t="s">
        <v>581</v>
      </c>
      <c r="D173" s="63"/>
      <c r="E173" s="64"/>
      <c r="F173" s="65" t="e">
        <f>DI173</f>
        <v>#REF!</v>
      </c>
      <c r="G173" s="66" t="e">
        <f>U173</f>
        <v>#REF!</v>
      </c>
      <c r="O173" s="21"/>
      <c r="P173" s="21"/>
      <c r="Q173" s="21"/>
      <c r="R173" s="21"/>
      <c r="S173" s="21"/>
      <c r="T173" s="21"/>
      <c r="U173" s="21" t="e">
        <f>Source!P57</f>
        <v>#REF!</v>
      </c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 t="e">
        <f>IF(E168&gt;0,ROUND(Source!P57/E168,2),0)</f>
        <v>#REF!</v>
      </c>
      <c r="DJ173" s="21"/>
      <c r="DK173" s="21"/>
      <c r="DL173" s="21" t="e">
        <f>DI173</f>
        <v>#REF!</v>
      </c>
      <c r="DM173" s="21" t="e">
        <f>U173</f>
        <v>#REF!</v>
      </c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</row>
    <row r="174" spans="1:255" x14ac:dyDescent="0.2">
      <c r="A174" s="68"/>
      <c r="B174" s="69"/>
      <c r="C174" s="69" t="s">
        <v>582</v>
      </c>
      <c r="D174" s="70" t="s">
        <v>583</v>
      </c>
      <c r="E174" s="71">
        <v>117</v>
      </c>
      <c r="F174" s="72" t="e">
        <f>DI174</f>
        <v>#REF!</v>
      </c>
      <c r="G174" s="73" t="e">
        <f>U174</f>
        <v>#REF!</v>
      </c>
      <c r="O174" s="21"/>
      <c r="P174" s="21"/>
      <c r="Q174" s="21"/>
      <c r="R174" s="21"/>
      <c r="S174" s="21"/>
      <c r="T174" s="21"/>
      <c r="U174" s="21" t="e">
        <f>Source!X57</f>
        <v>#REF!</v>
      </c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 t="e">
        <f>IF(E168&gt;0,ROUND(Source!X57/E168,2),0)</f>
        <v>#REF!</v>
      </c>
      <c r="DJ174" s="21"/>
      <c r="DK174" s="21"/>
      <c r="DL174" s="21"/>
      <c r="DM174" s="21"/>
      <c r="DN174" s="21"/>
      <c r="DO174" s="21"/>
      <c r="DP174" s="21"/>
      <c r="DQ174" s="21"/>
      <c r="DR174" s="21" t="e">
        <f>DI174</f>
        <v>#REF!</v>
      </c>
      <c r="DS174" s="21" t="e">
        <f>U174</f>
        <v>#REF!</v>
      </c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</row>
    <row r="175" spans="1:255" x14ac:dyDescent="0.2">
      <c r="A175" s="68"/>
      <c r="B175" s="69"/>
      <c r="C175" s="69" t="s">
        <v>584</v>
      </c>
      <c r="D175" s="70" t="s">
        <v>583</v>
      </c>
      <c r="E175" s="71">
        <v>74</v>
      </c>
      <c r="F175" s="72" t="e">
        <f>DI175</f>
        <v>#REF!</v>
      </c>
      <c r="G175" s="73" t="e">
        <f>U175</f>
        <v>#REF!</v>
      </c>
      <c r="O175" s="21"/>
      <c r="P175" s="21"/>
      <c r="Q175" s="21"/>
      <c r="R175" s="21"/>
      <c r="S175" s="21"/>
      <c r="T175" s="21"/>
      <c r="U175" s="21" t="e">
        <f>Source!Y57</f>
        <v>#REF!</v>
      </c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 t="e">
        <f>IF(E168&gt;0,ROUND(Source!Y57/E168,2),0)</f>
        <v>#REF!</v>
      </c>
      <c r="DJ175" s="21"/>
      <c r="DK175" s="21"/>
      <c r="DL175" s="21"/>
      <c r="DM175" s="21"/>
      <c r="DN175" s="21"/>
      <c r="DO175" s="21"/>
      <c r="DP175" s="21"/>
      <c r="DQ175" s="21"/>
      <c r="DR175" s="21" t="e">
        <f>DI175</f>
        <v>#REF!</v>
      </c>
      <c r="DS175" s="21" t="e">
        <f>U175</f>
        <v>#REF!</v>
      </c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</row>
    <row r="176" spans="1:255" x14ac:dyDescent="0.2">
      <c r="A176" s="61"/>
      <c r="B176" s="62"/>
      <c r="C176" s="62" t="s">
        <v>585</v>
      </c>
      <c r="D176" s="63" t="s">
        <v>586</v>
      </c>
      <c r="E176" s="64">
        <v>157</v>
      </c>
      <c r="F176" s="65"/>
      <c r="G176" s="176">
        <f>Source!U57</f>
        <v>122.46</v>
      </c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</row>
    <row r="177" spans="1:255" ht="24" x14ac:dyDescent="0.2">
      <c r="A177" s="115" t="s">
        <v>166</v>
      </c>
      <c r="B177" s="116" t="s">
        <v>97</v>
      </c>
      <c r="C177" s="117" t="s">
        <v>98</v>
      </c>
      <c r="D177" s="118" t="s">
        <v>99</v>
      </c>
      <c r="E177" s="119">
        <f>Source!I58</f>
        <v>11</v>
      </c>
      <c r="F177" s="120" t="e">
        <f>DI177</f>
        <v>#REF!</v>
      </c>
      <c r="G177" s="121" t="e">
        <f>U177</f>
        <v>#REF!</v>
      </c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 t="e">
        <f>Source!P58</f>
        <v>#REF!</v>
      </c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 t="e">
        <f>IF(E168&gt;0,ROUND(Source!P58/E168,2),0)</f>
        <v>#REF!</v>
      </c>
      <c r="DJ177" s="21"/>
      <c r="DK177" s="21"/>
      <c r="DL177" s="177" t="e">
        <f>F177</f>
        <v>#REF!</v>
      </c>
      <c r="DM177" s="21" t="e">
        <f>Source!P58</f>
        <v>#REF!</v>
      </c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</row>
    <row r="178" spans="1:255" ht="24" x14ac:dyDescent="0.2">
      <c r="A178" s="115" t="s">
        <v>167</v>
      </c>
      <c r="B178" s="116" t="s">
        <v>168</v>
      </c>
      <c r="C178" s="117" t="s">
        <v>169</v>
      </c>
      <c r="D178" s="118" t="s">
        <v>99</v>
      </c>
      <c r="E178" s="119">
        <f>Source!I59</f>
        <v>11</v>
      </c>
      <c r="F178" s="120" t="e">
        <f>DI178</f>
        <v>#REF!</v>
      </c>
      <c r="G178" s="121" t="e">
        <f>U178</f>
        <v>#REF!</v>
      </c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 t="e">
        <f>Source!P59</f>
        <v>#REF!</v>
      </c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 t="e">
        <f>IF(E168&gt;0,ROUND(Source!P59/E168,2),0)</f>
        <v>#REF!</v>
      </c>
      <c r="DJ178" s="21"/>
      <c r="DK178" s="21"/>
      <c r="DL178" s="177" t="e">
        <f>F178</f>
        <v>#REF!</v>
      </c>
      <c r="DM178" s="21" t="e">
        <f>Source!P59</f>
        <v>#REF!</v>
      </c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</row>
    <row r="179" spans="1:255" ht="24" x14ac:dyDescent="0.2">
      <c r="A179" s="115" t="s">
        <v>171</v>
      </c>
      <c r="B179" s="116" t="s">
        <v>172</v>
      </c>
      <c r="C179" s="117" t="s">
        <v>173</v>
      </c>
      <c r="D179" s="118" t="s">
        <v>33</v>
      </c>
      <c r="E179" s="119">
        <f>Source!I60</f>
        <v>0.99</v>
      </c>
      <c r="F179" s="120" t="e">
        <f>DI179</f>
        <v>#REF!</v>
      </c>
      <c r="G179" s="121" t="e">
        <f>U179</f>
        <v>#REF!</v>
      </c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 t="e">
        <f>Source!P60</f>
        <v>#REF!</v>
      </c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 t="e">
        <f>IF(E168&gt;0,ROUND(Source!P60/E168,2),0)</f>
        <v>#REF!</v>
      </c>
      <c r="DJ179" s="21"/>
      <c r="DK179" s="21"/>
      <c r="DL179" s="177" t="e">
        <f>F179</f>
        <v>#REF!</v>
      </c>
      <c r="DM179" s="21" t="e">
        <f>Source!P60</f>
        <v>#REF!</v>
      </c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</row>
    <row r="180" spans="1:255" x14ac:dyDescent="0.2">
      <c r="A180" s="77" t="s">
        <v>175</v>
      </c>
      <c r="B180" s="83" t="s">
        <v>176</v>
      </c>
      <c r="C180" s="78" t="s">
        <v>177</v>
      </c>
      <c r="D180" s="79" t="s">
        <v>99</v>
      </c>
      <c r="E180" s="80">
        <f>Source!I61</f>
        <v>11</v>
      </c>
      <c r="F180" s="81" t="e">
        <f>DI180</f>
        <v>#REF!</v>
      </c>
      <c r="G180" s="82" t="e">
        <f>U180</f>
        <v>#REF!</v>
      </c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 t="e">
        <f>Source!P61</f>
        <v>#REF!</v>
      </c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 t="e">
        <f>IF(E168&gt;0,ROUND(Source!P61/E168,2),0)</f>
        <v>#REF!</v>
      </c>
      <c r="DJ180" s="21"/>
      <c r="DK180" s="21"/>
      <c r="DL180" s="177" t="e">
        <f>F180</f>
        <v>#REF!</v>
      </c>
      <c r="DM180" s="21" t="e">
        <f>Source!P61</f>
        <v>#REF!</v>
      </c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</row>
    <row r="181" spans="1:255" x14ac:dyDescent="0.2">
      <c r="A181" s="55"/>
      <c r="B181" s="113" t="s">
        <v>590</v>
      </c>
      <c r="C181" s="113" t="s">
        <v>593</v>
      </c>
      <c r="D181" s="54"/>
      <c r="E181" s="54"/>
      <c r="F181" s="54"/>
      <c r="G181" s="56"/>
    </row>
    <row r="182" spans="1:255" x14ac:dyDescent="0.2">
      <c r="A182" s="115" t="s">
        <v>180</v>
      </c>
      <c r="B182" s="116" t="s">
        <v>102</v>
      </c>
      <c r="C182" s="117" t="s">
        <v>103</v>
      </c>
      <c r="D182" s="118" t="s">
        <v>33</v>
      </c>
      <c r="E182" s="119">
        <f>Source!I62</f>
        <v>-0.70199999999999996</v>
      </c>
      <c r="F182" s="120" t="e">
        <f>DI182</f>
        <v>#REF!</v>
      </c>
      <c r="G182" s="121" t="e">
        <f>U182</f>
        <v>#REF!</v>
      </c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 t="e">
        <f>Source!P62</f>
        <v>#REF!</v>
      </c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 t="e">
        <f>IF(E168&gt;0,ROUND(Source!P62/E168,2),0)</f>
        <v>#REF!</v>
      </c>
      <c r="DJ182" s="21"/>
      <c r="DK182" s="21"/>
      <c r="DL182" s="177" t="e">
        <f>F182</f>
        <v>#REF!</v>
      </c>
      <c r="DM182" s="21" t="e">
        <f>Source!P62</f>
        <v>#REF!</v>
      </c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</row>
    <row r="183" spans="1:255" x14ac:dyDescent="0.2">
      <c r="A183" s="77" t="s">
        <v>181</v>
      </c>
      <c r="B183" s="83" t="s">
        <v>102</v>
      </c>
      <c r="C183" s="78" t="s">
        <v>103</v>
      </c>
      <c r="D183" s="79" t="s">
        <v>33</v>
      </c>
      <c r="E183" s="80">
        <f>Source!I63</f>
        <v>2.3650000000000002</v>
      </c>
      <c r="F183" s="81" t="e">
        <f>DI183</f>
        <v>#REF!</v>
      </c>
      <c r="G183" s="82" t="e">
        <f>U183</f>
        <v>#REF!</v>
      </c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 t="e">
        <f>Source!P63</f>
        <v>#REF!</v>
      </c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 t="e">
        <f>IF(E168&gt;0,ROUND(Source!P63/E168,2),0)</f>
        <v>#REF!</v>
      </c>
      <c r="DJ183" s="21"/>
      <c r="DK183" s="21"/>
      <c r="DL183" s="177" t="e">
        <f>F183</f>
        <v>#REF!</v>
      </c>
      <c r="DM183" s="21" t="e">
        <f>Source!P63</f>
        <v>#REF!</v>
      </c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</row>
    <row r="184" spans="1:255" ht="13.5" thickBot="1" x14ac:dyDescent="0.25">
      <c r="A184" s="89"/>
      <c r="B184" s="90"/>
      <c r="C184" s="90" t="s">
        <v>587</v>
      </c>
      <c r="D184" s="90"/>
      <c r="E184" s="90"/>
      <c r="F184" s="178" t="e">
        <f>SUM(DL168:DL183)</f>
        <v>#REF!</v>
      </c>
      <c r="G184" s="179" t="e">
        <f>SUM(DM168:DM183)</f>
        <v>#REF!</v>
      </c>
      <c r="H184" s="84"/>
      <c r="I184" s="84"/>
      <c r="J184" s="84"/>
      <c r="K184" s="84"/>
      <c r="L184" s="84"/>
      <c r="M184" s="84"/>
      <c r="N184" s="84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</row>
    <row r="185" spans="1:255" x14ac:dyDescent="0.2">
      <c r="A185" s="86"/>
      <c r="B185" s="85"/>
      <c r="C185" s="85" t="s">
        <v>588</v>
      </c>
      <c r="D185" s="85"/>
      <c r="E185" s="85"/>
      <c r="F185" s="87" t="e">
        <f>SUM(DI168:DI184)</f>
        <v>#REF!</v>
      </c>
      <c r="G185" s="88" t="e">
        <f>S185</f>
        <v>#REF!</v>
      </c>
      <c r="O185" s="21"/>
      <c r="P185" s="21"/>
      <c r="Q185" s="21"/>
      <c r="R185" s="21"/>
      <c r="S185" s="21" t="e">
        <f>SUM(U168:U184)</f>
        <v>#REF!</v>
      </c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</row>
    <row r="186" spans="1:255" x14ac:dyDescent="0.2">
      <c r="A186" s="59"/>
      <c r="B186" s="58"/>
      <c r="C186" s="58"/>
      <c r="D186" s="58"/>
      <c r="E186" s="58"/>
      <c r="F186" s="58"/>
      <c r="G186" s="60"/>
    </row>
    <row r="187" spans="1:255" ht="24" x14ac:dyDescent="0.2">
      <c r="A187" s="91">
        <v>11</v>
      </c>
      <c r="B187" s="97" t="s">
        <v>183</v>
      </c>
      <c r="C187" s="92" t="s">
        <v>184</v>
      </c>
      <c r="D187" s="93" t="s">
        <v>99</v>
      </c>
      <c r="E187" s="94">
        <v>1</v>
      </c>
      <c r="F187" s="95" t="e">
        <f>IF(E187&gt;0,ROUND((Source!O64+Source!X64+Source!Y64)/E187,2),0)</f>
        <v>#REF!</v>
      </c>
      <c r="G187" s="96" t="e">
        <f>SUM(DS187:DS197)</f>
        <v>#REF!</v>
      </c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</row>
    <row r="188" spans="1:255" x14ac:dyDescent="0.2">
      <c r="A188" s="102"/>
      <c r="B188" s="103"/>
      <c r="C188" s="103" t="s">
        <v>578</v>
      </c>
      <c r="D188" s="104"/>
      <c r="E188" s="105"/>
      <c r="F188" s="106" t="e">
        <f>DI188</f>
        <v>#REF!</v>
      </c>
      <c r="G188" s="107" t="e">
        <f>U188</f>
        <v>#REF!</v>
      </c>
      <c r="O188" s="21"/>
      <c r="P188" s="21"/>
      <c r="Q188" s="21"/>
      <c r="R188" s="21"/>
      <c r="S188" s="21"/>
      <c r="T188" s="21"/>
      <c r="U188" s="21" t="e">
        <f>Source!S64</f>
        <v>#REF!</v>
      </c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 t="e">
        <f>Source!S64</f>
        <v>#REF!</v>
      </c>
      <c r="DH188" s="21">
        <v>1</v>
      </c>
      <c r="DI188" s="21" t="e">
        <f>IF(E187&gt;0,ROUND(Source!S64/E187,2),0)</f>
        <v>#REF!</v>
      </c>
      <c r="DJ188" s="21"/>
      <c r="DK188" s="21"/>
      <c r="DL188" s="21"/>
      <c r="DM188" s="21"/>
      <c r="DN188" s="21"/>
      <c r="DO188" s="21"/>
      <c r="DP188" s="21"/>
      <c r="DQ188" s="21"/>
      <c r="DR188" s="21" t="e">
        <f>DI188</f>
        <v>#REF!</v>
      </c>
      <c r="DS188" s="21" t="e">
        <f>U188</f>
        <v>#REF!</v>
      </c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</row>
    <row r="189" spans="1:255" x14ac:dyDescent="0.2">
      <c r="A189" s="61"/>
      <c r="B189" s="62"/>
      <c r="C189" s="62" t="s">
        <v>579</v>
      </c>
      <c r="D189" s="63"/>
      <c r="E189" s="64"/>
      <c r="F189" s="65" t="e">
        <f>DI189</f>
        <v>#REF!</v>
      </c>
      <c r="G189" s="66" t="e">
        <f>U189</f>
        <v>#REF!</v>
      </c>
      <c r="O189" s="21"/>
      <c r="P189" s="21"/>
      <c r="Q189" s="21"/>
      <c r="R189" s="21"/>
      <c r="S189" s="21"/>
      <c r="T189" s="21"/>
      <c r="U189" s="21" t="e">
        <f>Source!Q64</f>
        <v>#REF!</v>
      </c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 t="e">
        <f>IF(E187&gt;0,ROUND(Source!Q64/E187,2),0)</f>
        <v>#REF!</v>
      </c>
      <c r="DJ189" s="21"/>
      <c r="DK189" s="21"/>
      <c r="DL189" s="21"/>
      <c r="DM189" s="21"/>
      <c r="DN189" s="21"/>
      <c r="DO189" s="21"/>
      <c r="DP189" s="21"/>
      <c r="DQ189" s="21"/>
      <c r="DR189" s="21" t="e">
        <f>DI189</f>
        <v>#REF!</v>
      </c>
      <c r="DS189" s="21" t="e">
        <f>U189</f>
        <v>#REF!</v>
      </c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</row>
    <row r="190" spans="1:255" x14ac:dyDescent="0.2">
      <c r="A190" s="61"/>
      <c r="B190" s="62"/>
      <c r="C190" s="62" t="s">
        <v>580</v>
      </c>
      <c r="D190" s="63"/>
      <c r="E190" s="64"/>
      <c r="F190" s="65" t="e">
        <f>IF(E187&gt;0,ROUND(Source!R64/E187,2),0)</f>
        <v>#REF!</v>
      </c>
      <c r="G190" s="66" t="e">
        <f>Source!R64</f>
        <v>#REF!</v>
      </c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</row>
    <row r="191" spans="1:255" x14ac:dyDescent="0.2">
      <c r="A191" s="61"/>
      <c r="B191" s="62"/>
      <c r="C191" s="62" t="s">
        <v>581</v>
      </c>
      <c r="D191" s="63"/>
      <c r="E191" s="64"/>
      <c r="F191" s="65" t="e">
        <f>DI191</f>
        <v>#REF!</v>
      </c>
      <c r="G191" s="66" t="e">
        <f>U191</f>
        <v>#REF!</v>
      </c>
      <c r="O191" s="21"/>
      <c r="P191" s="21"/>
      <c r="Q191" s="21"/>
      <c r="R191" s="21"/>
      <c r="S191" s="21"/>
      <c r="T191" s="21"/>
      <c r="U191" s="21" t="e">
        <f>Source!P64</f>
        <v>#REF!</v>
      </c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 t="e">
        <f>IF(E187&gt;0,ROUND(Source!P64/E187,2),0)</f>
        <v>#REF!</v>
      </c>
      <c r="DJ191" s="21"/>
      <c r="DK191" s="21"/>
      <c r="DL191" s="21" t="e">
        <f>DI191</f>
        <v>#REF!</v>
      </c>
      <c r="DM191" s="21" t="e">
        <f>U191</f>
        <v>#REF!</v>
      </c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</row>
    <row r="192" spans="1:255" x14ac:dyDescent="0.2">
      <c r="A192" s="68"/>
      <c r="B192" s="69"/>
      <c r="C192" s="69" t="s">
        <v>582</v>
      </c>
      <c r="D192" s="70" t="s">
        <v>583</v>
      </c>
      <c r="E192" s="71">
        <v>92</v>
      </c>
      <c r="F192" s="72" t="e">
        <f>DI192</f>
        <v>#REF!</v>
      </c>
      <c r="G192" s="73" t="e">
        <f>U192</f>
        <v>#REF!</v>
      </c>
      <c r="O192" s="21"/>
      <c r="P192" s="21"/>
      <c r="Q192" s="21"/>
      <c r="R192" s="21"/>
      <c r="S192" s="21"/>
      <c r="T192" s="21"/>
      <c r="U192" s="21" t="e">
        <f>Source!X64</f>
        <v>#REF!</v>
      </c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 t="e">
        <f>IF(E187&gt;0,ROUND(Source!X64/E187,2),0)</f>
        <v>#REF!</v>
      </c>
      <c r="DJ192" s="21"/>
      <c r="DK192" s="21"/>
      <c r="DL192" s="21"/>
      <c r="DM192" s="21"/>
      <c r="DN192" s="21"/>
      <c r="DO192" s="21"/>
      <c r="DP192" s="21"/>
      <c r="DQ192" s="21"/>
      <c r="DR192" s="21" t="e">
        <f>DI192</f>
        <v>#REF!</v>
      </c>
      <c r="DS192" s="21" t="e">
        <f>U192</f>
        <v>#REF!</v>
      </c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</row>
    <row r="193" spans="1:255" x14ac:dyDescent="0.2">
      <c r="A193" s="68"/>
      <c r="B193" s="69"/>
      <c r="C193" s="69" t="s">
        <v>584</v>
      </c>
      <c r="D193" s="70" t="s">
        <v>583</v>
      </c>
      <c r="E193" s="71">
        <v>49</v>
      </c>
      <c r="F193" s="72" t="e">
        <f>DI193</f>
        <v>#REF!</v>
      </c>
      <c r="G193" s="73" t="e">
        <f>U193</f>
        <v>#REF!</v>
      </c>
      <c r="O193" s="21"/>
      <c r="P193" s="21"/>
      <c r="Q193" s="21"/>
      <c r="R193" s="21"/>
      <c r="S193" s="21"/>
      <c r="T193" s="21"/>
      <c r="U193" s="21" t="e">
        <f>Source!Y64</f>
        <v>#REF!</v>
      </c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 t="e">
        <f>IF(E187&gt;0,ROUND(Source!Y64/E187,2),0)</f>
        <v>#REF!</v>
      </c>
      <c r="DJ193" s="21"/>
      <c r="DK193" s="21"/>
      <c r="DL193" s="21"/>
      <c r="DM193" s="21"/>
      <c r="DN193" s="21"/>
      <c r="DO193" s="21"/>
      <c r="DP193" s="21"/>
      <c r="DQ193" s="21"/>
      <c r="DR193" s="21" t="e">
        <f>DI193</f>
        <v>#REF!</v>
      </c>
      <c r="DS193" s="21" t="e">
        <f>U193</f>
        <v>#REF!</v>
      </c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</row>
    <row r="194" spans="1:255" x14ac:dyDescent="0.2">
      <c r="A194" s="61"/>
      <c r="B194" s="62"/>
      <c r="C194" s="62" t="s">
        <v>585</v>
      </c>
      <c r="D194" s="63" t="s">
        <v>586</v>
      </c>
      <c r="E194" s="64">
        <v>19.7</v>
      </c>
      <c r="F194" s="65"/>
      <c r="G194" s="176">
        <f>Source!U64</f>
        <v>19.7</v>
      </c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</row>
    <row r="195" spans="1:255" x14ac:dyDescent="0.2">
      <c r="A195" s="115" t="s">
        <v>191</v>
      </c>
      <c r="B195" s="116" t="s">
        <v>84</v>
      </c>
      <c r="C195" s="117" t="s">
        <v>192</v>
      </c>
      <c r="D195" s="118" t="s">
        <v>193</v>
      </c>
      <c r="E195" s="119">
        <f>Source!I65</f>
        <v>1</v>
      </c>
      <c r="F195" s="120" t="e">
        <f>DI195</f>
        <v>#REF!</v>
      </c>
      <c r="G195" s="121" t="e">
        <f>U195</f>
        <v>#REF!</v>
      </c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 t="e">
        <f>Source!P65</f>
        <v>#REF!</v>
      </c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 t="e">
        <f>IF(E187&gt;0,ROUND(Source!P65/E187,2),0)</f>
        <v>#REF!</v>
      </c>
      <c r="DJ195" s="21"/>
      <c r="DK195" s="21"/>
      <c r="DL195" s="177" t="e">
        <f>F195</f>
        <v>#REF!</v>
      </c>
      <c r="DM195" s="21" t="e">
        <f>Source!P65</f>
        <v>#REF!</v>
      </c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</row>
    <row r="196" spans="1:255" x14ac:dyDescent="0.2">
      <c r="A196" s="75"/>
      <c r="B196" s="114" t="s">
        <v>590</v>
      </c>
      <c r="C196" s="114" t="s">
        <v>594</v>
      </c>
      <c r="D196" s="31"/>
      <c r="E196" s="31"/>
      <c r="F196" s="31"/>
      <c r="G196" s="76"/>
    </row>
    <row r="197" spans="1:255" ht="13.5" thickBot="1" x14ac:dyDescent="0.25">
      <c r="A197" s="89"/>
      <c r="B197" s="90"/>
      <c r="C197" s="90" t="s">
        <v>587</v>
      </c>
      <c r="D197" s="90"/>
      <c r="E197" s="90"/>
      <c r="F197" s="178" t="e">
        <f>SUM(DL187:DL196)</f>
        <v>#REF!</v>
      </c>
      <c r="G197" s="179" t="e">
        <f>SUM(DM187:DM196)</f>
        <v>#REF!</v>
      </c>
      <c r="H197" s="84"/>
      <c r="I197" s="84"/>
      <c r="J197" s="84"/>
      <c r="K197" s="84"/>
      <c r="L197" s="84"/>
      <c r="M197" s="84"/>
      <c r="N197" s="84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</row>
    <row r="198" spans="1:255" x14ac:dyDescent="0.2">
      <c r="A198" s="86"/>
      <c r="B198" s="85"/>
      <c r="C198" s="85" t="s">
        <v>588</v>
      </c>
      <c r="D198" s="85"/>
      <c r="E198" s="85"/>
      <c r="F198" s="87" t="e">
        <f>SUM(DI187:DI197)</f>
        <v>#REF!</v>
      </c>
      <c r="G198" s="88" t="e">
        <f>S198</f>
        <v>#REF!</v>
      </c>
      <c r="O198" s="21"/>
      <c r="P198" s="21"/>
      <c r="Q198" s="21"/>
      <c r="R198" s="21"/>
      <c r="S198" s="21" t="e">
        <f>SUM(U187:U197)</f>
        <v>#REF!</v>
      </c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</row>
    <row r="199" spans="1:255" x14ac:dyDescent="0.2">
      <c r="A199" s="59"/>
      <c r="B199" s="58"/>
      <c r="C199" s="58"/>
      <c r="D199" s="58"/>
      <c r="E199" s="58"/>
      <c r="F199" s="58"/>
      <c r="G199" s="60"/>
    </row>
    <row r="200" spans="1:255" ht="24" x14ac:dyDescent="0.2">
      <c r="A200" s="91">
        <v>12</v>
      </c>
      <c r="B200" s="97" t="s">
        <v>196</v>
      </c>
      <c r="C200" s="92" t="s">
        <v>197</v>
      </c>
      <c r="D200" s="93" t="s">
        <v>198</v>
      </c>
      <c r="E200" s="94">
        <v>0.442</v>
      </c>
      <c r="F200" s="95" t="e">
        <f>IF(E200&gt;0,ROUND((Source!O66+Source!X66+Source!Y66)/E200,2),0)</f>
        <v>#REF!</v>
      </c>
      <c r="G200" s="96" t="e">
        <f>SUM(DS200:DS206)</f>
        <v>#REF!</v>
      </c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</row>
    <row r="201" spans="1:255" x14ac:dyDescent="0.2">
      <c r="A201" s="55"/>
      <c r="B201" s="57" t="str">
        <f>IF(Source!I66=0.442," Расчет объема","")</f>
        <v xml:space="preserve"> Расчет объема</v>
      </c>
      <c r="C201" s="57" t="str">
        <f>IF(Source!I66=0.442,"   442/1000 = 0,442","")</f>
        <v xml:space="preserve">   442/1000 = 0,442</v>
      </c>
      <c r="D201" s="54"/>
      <c r="E201" s="54"/>
      <c r="F201" s="54"/>
      <c r="G201" s="56"/>
    </row>
    <row r="202" spans="1:255" x14ac:dyDescent="0.2">
      <c r="A202" s="61"/>
      <c r="B202" s="62"/>
      <c r="C202" s="62" t="s">
        <v>578</v>
      </c>
      <c r="D202" s="63"/>
      <c r="E202" s="64"/>
      <c r="F202" s="65" t="e">
        <f>DI202</f>
        <v>#REF!</v>
      </c>
      <c r="G202" s="66" t="e">
        <f>U202</f>
        <v>#REF!</v>
      </c>
      <c r="O202" s="21"/>
      <c r="P202" s="21"/>
      <c r="Q202" s="21"/>
      <c r="R202" s="21"/>
      <c r="S202" s="21"/>
      <c r="T202" s="21"/>
      <c r="U202" s="21" t="e">
        <f>Source!S66</f>
        <v>#REF!</v>
      </c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 t="e">
        <f>Source!S66</f>
        <v>#REF!</v>
      </c>
      <c r="DH202" s="21">
        <v>1</v>
      </c>
      <c r="DI202" s="21" t="e">
        <f>IF(E200&gt;0,ROUND(Source!S66/E200,2),0)</f>
        <v>#REF!</v>
      </c>
      <c r="DJ202" s="21"/>
      <c r="DK202" s="21"/>
      <c r="DL202" s="21"/>
      <c r="DM202" s="21"/>
      <c r="DN202" s="21"/>
      <c r="DO202" s="21"/>
      <c r="DP202" s="21"/>
      <c r="DQ202" s="21"/>
      <c r="DR202" s="21" t="e">
        <f>DI202</f>
        <v>#REF!</v>
      </c>
      <c r="DS202" s="21" t="e">
        <f>U202</f>
        <v>#REF!</v>
      </c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</row>
    <row r="203" spans="1:255" x14ac:dyDescent="0.2">
      <c r="A203" s="61"/>
      <c r="B203" s="62"/>
      <c r="C203" s="62" t="s">
        <v>581</v>
      </c>
      <c r="D203" s="63"/>
      <c r="E203" s="64"/>
      <c r="F203" s="65" t="e">
        <f>DI203</f>
        <v>#REF!</v>
      </c>
      <c r="G203" s="66" t="e">
        <f>U203</f>
        <v>#REF!</v>
      </c>
      <c r="O203" s="21"/>
      <c r="P203" s="21"/>
      <c r="Q203" s="21"/>
      <c r="R203" s="21"/>
      <c r="S203" s="21"/>
      <c r="T203" s="21"/>
      <c r="U203" s="21" t="e">
        <f>Source!P66</f>
        <v>#REF!</v>
      </c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 t="e">
        <f>IF(E200&gt;0,ROUND(Source!P66/E200,2),0)</f>
        <v>#REF!</v>
      </c>
      <c r="DJ203" s="21"/>
      <c r="DK203" s="21"/>
      <c r="DL203" s="21" t="e">
        <f>DI203</f>
        <v>#REF!</v>
      </c>
      <c r="DM203" s="21" t="e">
        <f>U203</f>
        <v>#REF!</v>
      </c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</row>
    <row r="204" spans="1:255" x14ac:dyDescent="0.2">
      <c r="A204" s="68"/>
      <c r="B204" s="69"/>
      <c r="C204" s="69" t="s">
        <v>582</v>
      </c>
      <c r="D204" s="70" t="s">
        <v>583</v>
      </c>
      <c r="E204" s="71">
        <v>117</v>
      </c>
      <c r="F204" s="72" t="e">
        <f>DI204</f>
        <v>#REF!</v>
      </c>
      <c r="G204" s="73" t="e">
        <f>U204</f>
        <v>#REF!</v>
      </c>
      <c r="O204" s="21"/>
      <c r="P204" s="21"/>
      <c r="Q204" s="21"/>
      <c r="R204" s="21"/>
      <c r="S204" s="21"/>
      <c r="T204" s="21"/>
      <c r="U204" s="21" t="e">
        <f>Source!X66</f>
        <v>#REF!</v>
      </c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 t="e">
        <f>IF(E200&gt;0,ROUND(Source!X66/E200,2),0)</f>
        <v>#REF!</v>
      </c>
      <c r="DJ204" s="21"/>
      <c r="DK204" s="21"/>
      <c r="DL204" s="21"/>
      <c r="DM204" s="21"/>
      <c r="DN204" s="21"/>
      <c r="DO204" s="21"/>
      <c r="DP204" s="21"/>
      <c r="DQ204" s="21"/>
      <c r="DR204" s="21" t="e">
        <f>DI204</f>
        <v>#REF!</v>
      </c>
      <c r="DS204" s="21" t="e">
        <f>U204</f>
        <v>#REF!</v>
      </c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1"/>
      <c r="IN204" s="21"/>
      <c r="IO204" s="21"/>
      <c r="IP204" s="21"/>
      <c r="IQ204" s="21"/>
      <c r="IR204" s="21"/>
      <c r="IS204" s="21"/>
      <c r="IT204" s="21"/>
      <c r="IU204" s="21"/>
    </row>
    <row r="205" spans="1:255" x14ac:dyDescent="0.2">
      <c r="A205" s="68"/>
      <c r="B205" s="69"/>
      <c r="C205" s="69" t="s">
        <v>584</v>
      </c>
      <c r="D205" s="70" t="s">
        <v>583</v>
      </c>
      <c r="E205" s="71">
        <v>74</v>
      </c>
      <c r="F205" s="72" t="e">
        <f>DI205</f>
        <v>#REF!</v>
      </c>
      <c r="G205" s="73" t="e">
        <f>U205</f>
        <v>#REF!</v>
      </c>
      <c r="O205" s="21"/>
      <c r="P205" s="21"/>
      <c r="Q205" s="21"/>
      <c r="R205" s="21"/>
      <c r="S205" s="21"/>
      <c r="T205" s="21"/>
      <c r="U205" s="21" t="e">
        <f>Source!Y66</f>
        <v>#REF!</v>
      </c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 t="e">
        <f>IF(E200&gt;0,ROUND(Source!Y66/E200,2),0)</f>
        <v>#REF!</v>
      </c>
      <c r="DJ205" s="21"/>
      <c r="DK205" s="21"/>
      <c r="DL205" s="21"/>
      <c r="DM205" s="21"/>
      <c r="DN205" s="21"/>
      <c r="DO205" s="21"/>
      <c r="DP205" s="21"/>
      <c r="DQ205" s="21"/>
      <c r="DR205" s="21" t="e">
        <f>DI205</f>
        <v>#REF!</v>
      </c>
      <c r="DS205" s="21" t="e">
        <f>U205</f>
        <v>#REF!</v>
      </c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1"/>
      <c r="IN205" s="21"/>
      <c r="IO205" s="21"/>
      <c r="IP205" s="21"/>
      <c r="IQ205" s="21"/>
      <c r="IR205" s="21"/>
      <c r="IS205" s="21"/>
      <c r="IT205" s="21"/>
      <c r="IU205" s="21"/>
    </row>
    <row r="206" spans="1:255" ht="13.5" thickBot="1" x14ac:dyDescent="0.25">
      <c r="A206" s="108"/>
      <c r="B206" s="109"/>
      <c r="C206" s="109" t="s">
        <v>585</v>
      </c>
      <c r="D206" s="110" t="s">
        <v>586</v>
      </c>
      <c r="E206" s="111">
        <v>28.8</v>
      </c>
      <c r="F206" s="112"/>
      <c r="G206" s="180">
        <f>Source!U66</f>
        <v>12.7296</v>
      </c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  <c r="II206" s="21"/>
      <c r="IJ206" s="21"/>
      <c r="IK206" s="21"/>
      <c r="IL206" s="21"/>
      <c r="IM206" s="21"/>
      <c r="IN206" s="21"/>
      <c r="IO206" s="21"/>
      <c r="IP206" s="21"/>
      <c r="IQ206" s="21"/>
      <c r="IR206" s="21"/>
      <c r="IS206" s="21"/>
      <c r="IT206" s="21"/>
      <c r="IU206" s="21"/>
    </row>
    <row r="207" spans="1:255" x14ac:dyDescent="0.2">
      <c r="A207" s="86"/>
      <c r="B207" s="85"/>
      <c r="C207" s="85" t="s">
        <v>588</v>
      </c>
      <c r="D207" s="85"/>
      <c r="E207" s="85"/>
      <c r="F207" s="87" t="e">
        <f>SUM(DI200:DI206)</f>
        <v>#REF!</v>
      </c>
      <c r="G207" s="88" t="e">
        <f>S207</f>
        <v>#REF!</v>
      </c>
      <c r="O207" s="21"/>
      <c r="P207" s="21"/>
      <c r="Q207" s="21"/>
      <c r="R207" s="21"/>
      <c r="S207" s="21" t="e">
        <f>SUM(U200:U206)</f>
        <v>#REF!</v>
      </c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  <c r="ID207" s="21"/>
      <c r="IE207" s="21"/>
      <c r="IF207" s="21"/>
      <c r="IG207" s="21"/>
      <c r="IH207" s="21"/>
      <c r="II207" s="21"/>
      <c r="IJ207" s="21"/>
      <c r="IK207" s="21"/>
      <c r="IL207" s="21"/>
      <c r="IM207" s="21"/>
      <c r="IN207" s="21"/>
      <c r="IO207" s="21"/>
      <c r="IP207" s="21"/>
      <c r="IQ207" s="21"/>
      <c r="IR207" s="21"/>
      <c r="IS207" s="21"/>
      <c r="IT207" s="21"/>
      <c r="IU207" s="21"/>
    </row>
    <row r="208" spans="1:255" x14ac:dyDescent="0.2">
      <c r="A208" s="59"/>
      <c r="B208" s="58"/>
      <c r="C208" s="58"/>
      <c r="D208" s="58"/>
      <c r="E208" s="58"/>
      <c r="F208" s="58"/>
      <c r="G208" s="60"/>
    </row>
    <row r="209" spans="1:255" ht="24" x14ac:dyDescent="0.2">
      <c r="A209" s="91">
        <v>14</v>
      </c>
      <c r="B209" s="97" t="s">
        <v>206</v>
      </c>
      <c r="C209" s="92" t="s">
        <v>207</v>
      </c>
      <c r="D209" s="93" t="s">
        <v>58</v>
      </c>
      <c r="E209" s="94">
        <v>3.82</v>
      </c>
      <c r="F209" s="95" t="e">
        <f>IF(E209&gt;0,ROUND((Source!O68+Source!X68+Source!Y68)/E209,2),0)</f>
        <v>#REF!</v>
      </c>
      <c r="G209" s="96" t="e">
        <f>SUM(DS209:DS216)</f>
        <v>#REF!</v>
      </c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  <c r="IN209" s="21"/>
      <c r="IO209" s="21"/>
      <c r="IP209" s="21"/>
      <c r="IQ209" s="21"/>
      <c r="IR209" s="21"/>
      <c r="IS209" s="21"/>
      <c r="IT209" s="21"/>
      <c r="IU209" s="21"/>
    </row>
    <row r="210" spans="1:255" x14ac:dyDescent="0.2">
      <c r="A210" s="55"/>
      <c r="B210" s="57" t="str">
        <f>IF(Source!I68=3.82," Расчет объема","")</f>
        <v xml:space="preserve"> Расчет объема</v>
      </c>
      <c r="C210" s="57" t="str">
        <f>IF(Source!I68=3.82,"   382/100 = 3,82","")</f>
        <v xml:space="preserve">   382/100 = 3,82</v>
      </c>
      <c r="D210" s="54"/>
      <c r="E210" s="54"/>
      <c r="F210" s="54"/>
      <c r="G210" s="56"/>
    </row>
    <row r="211" spans="1:255" x14ac:dyDescent="0.2">
      <c r="A211" s="61"/>
      <c r="B211" s="62"/>
      <c r="C211" s="62" t="s">
        <v>578</v>
      </c>
      <c r="D211" s="63"/>
      <c r="E211" s="64"/>
      <c r="F211" s="65" t="e">
        <f>DI211</f>
        <v>#REF!</v>
      </c>
      <c r="G211" s="66" t="e">
        <f>U211</f>
        <v>#REF!</v>
      </c>
      <c r="O211" s="21"/>
      <c r="P211" s="21"/>
      <c r="Q211" s="21"/>
      <c r="R211" s="21"/>
      <c r="S211" s="21"/>
      <c r="T211" s="21"/>
      <c r="U211" s="21" t="e">
        <f>Source!S68</f>
        <v>#REF!</v>
      </c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 t="e">
        <f>Source!S68</f>
        <v>#REF!</v>
      </c>
      <c r="DH211" s="21">
        <v>1</v>
      </c>
      <c r="DI211" s="21" t="e">
        <f>IF(E209&gt;0,ROUND(Source!S68/E209,2),0)</f>
        <v>#REF!</v>
      </c>
      <c r="DJ211" s="21"/>
      <c r="DK211" s="21"/>
      <c r="DL211" s="21"/>
      <c r="DM211" s="21"/>
      <c r="DN211" s="21"/>
      <c r="DO211" s="21"/>
      <c r="DP211" s="21"/>
      <c r="DQ211" s="21"/>
      <c r="DR211" s="21" t="e">
        <f>DI211</f>
        <v>#REF!</v>
      </c>
      <c r="DS211" s="21" t="e">
        <f>U211</f>
        <v>#REF!</v>
      </c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  <c r="IH211" s="21"/>
      <c r="II211" s="21"/>
      <c r="IJ211" s="21"/>
      <c r="IK211" s="21"/>
      <c r="IL211" s="21"/>
      <c r="IM211" s="21"/>
      <c r="IN211" s="21"/>
      <c r="IO211" s="21"/>
      <c r="IP211" s="21"/>
      <c r="IQ211" s="21"/>
      <c r="IR211" s="21"/>
      <c r="IS211" s="21"/>
      <c r="IT211" s="21"/>
      <c r="IU211" s="21"/>
    </row>
    <row r="212" spans="1:255" x14ac:dyDescent="0.2">
      <c r="A212" s="68"/>
      <c r="B212" s="69"/>
      <c r="C212" s="69" t="s">
        <v>582</v>
      </c>
      <c r="D212" s="70" t="s">
        <v>583</v>
      </c>
      <c r="E212" s="71">
        <v>89</v>
      </c>
      <c r="F212" s="72" t="e">
        <f>DI212</f>
        <v>#REF!</v>
      </c>
      <c r="G212" s="73" t="e">
        <f>U212</f>
        <v>#REF!</v>
      </c>
      <c r="O212" s="21"/>
      <c r="P212" s="21"/>
      <c r="Q212" s="21"/>
      <c r="R212" s="21"/>
      <c r="S212" s="21"/>
      <c r="T212" s="21"/>
      <c r="U212" s="21" t="e">
        <f>Source!X68</f>
        <v>#REF!</v>
      </c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 t="e">
        <f>IF(E209&gt;0,ROUND(Source!X68/E209,2),0)</f>
        <v>#REF!</v>
      </c>
      <c r="DJ212" s="21"/>
      <c r="DK212" s="21"/>
      <c r="DL212" s="21"/>
      <c r="DM212" s="21"/>
      <c r="DN212" s="21"/>
      <c r="DO212" s="21"/>
      <c r="DP212" s="21"/>
      <c r="DQ212" s="21"/>
      <c r="DR212" s="21" t="e">
        <f>DI212</f>
        <v>#REF!</v>
      </c>
      <c r="DS212" s="21" t="e">
        <f>U212</f>
        <v>#REF!</v>
      </c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  <c r="ID212" s="21"/>
      <c r="IE212" s="21"/>
      <c r="IF212" s="21"/>
      <c r="IG212" s="21"/>
      <c r="IH212" s="21"/>
      <c r="II212" s="21"/>
      <c r="IJ212" s="21"/>
      <c r="IK212" s="21"/>
      <c r="IL212" s="21"/>
      <c r="IM212" s="21"/>
      <c r="IN212" s="21"/>
      <c r="IO212" s="21"/>
      <c r="IP212" s="21"/>
      <c r="IQ212" s="21"/>
      <c r="IR212" s="21"/>
      <c r="IS212" s="21"/>
      <c r="IT212" s="21"/>
      <c r="IU212" s="21"/>
    </row>
    <row r="213" spans="1:255" x14ac:dyDescent="0.2">
      <c r="A213" s="68"/>
      <c r="B213" s="69"/>
      <c r="C213" s="69" t="s">
        <v>584</v>
      </c>
      <c r="D213" s="70" t="s">
        <v>583</v>
      </c>
      <c r="E213" s="71">
        <v>40</v>
      </c>
      <c r="F213" s="72" t="e">
        <f>DI213</f>
        <v>#REF!</v>
      </c>
      <c r="G213" s="73" t="e">
        <f>U213</f>
        <v>#REF!</v>
      </c>
      <c r="O213" s="21"/>
      <c r="P213" s="21"/>
      <c r="Q213" s="21"/>
      <c r="R213" s="21"/>
      <c r="S213" s="21"/>
      <c r="T213" s="21"/>
      <c r="U213" s="21" t="e">
        <f>Source!Y68</f>
        <v>#REF!</v>
      </c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 t="e">
        <f>IF(E209&gt;0,ROUND(Source!Y68/E209,2),0)</f>
        <v>#REF!</v>
      </c>
      <c r="DJ213" s="21"/>
      <c r="DK213" s="21"/>
      <c r="DL213" s="21"/>
      <c r="DM213" s="21"/>
      <c r="DN213" s="21"/>
      <c r="DO213" s="21"/>
      <c r="DP213" s="21"/>
      <c r="DQ213" s="21"/>
      <c r="DR213" s="21" t="e">
        <f>DI213</f>
        <v>#REF!</v>
      </c>
      <c r="DS213" s="21" t="e">
        <f>U213</f>
        <v>#REF!</v>
      </c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  <c r="HS213" s="21"/>
      <c r="HT213" s="21"/>
      <c r="HU213" s="21"/>
      <c r="HV213" s="21"/>
      <c r="HW213" s="21"/>
      <c r="HX213" s="21"/>
      <c r="HY213" s="21"/>
      <c r="HZ213" s="21"/>
      <c r="IA213" s="21"/>
      <c r="IB213" s="21"/>
      <c r="IC213" s="21"/>
      <c r="ID213" s="21"/>
      <c r="IE213" s="21"/>
      <c r="IF213" s="21"/>
      <c r="IG213" s="21"/>
      <c r="IH213" s="21"/>
      <c r="II213" s="21"/>
      <c r="IJ213" s="21"/>
      <c r="IK213" s="21"/>
      <c r="IL213" s="21"/>
      <c r="IM213" s="21"/>
      <c r="IN213" s="21"/>
      <c r="IO213" s="21"/>
      <c r="IP213" s="21"/>
      <c r="IQ213" s="21"/>
      <c r="IR213" s="21"/>
      <c r="IS213" s="21"/>
      <c r="IT213" s="21"/>
      <c r="IU213" s="21"/>
    </row>
    <row r="214" spans="1:255" x14ac:dyDescent="0.2">
      <c r="A214" s="61"/>
      <c r="B214" s="62"/>
      <c r="C214" s="62" t="s">
        <v>585</v>
      </c>
      <c r="D214" s="63" t="s">
        <v>586</v>
      </c>
      <c r="E214" s="64">
        <v>88.5</v>
      </c>
      <c r="F214" s="65"/>
      <c r="G214" s="176">
        <f>Source!U68</f>
        <v>338.07</v>
      </c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  <c r="FE214" s="21"/>
      <c r="FF214" s="21"/>
      <c r="FG214" s="21"/>
      <c r="FH214" s="21"/>
      <c r="FI214" s="21"/>
      <c r="FJ214" s="21"/>
      <c r="FK214" s="21"/>
      <c r="FL214" s="21"/>
      <c r="FM214" s="21"/>
      <c r="FN214" s="21"/>
      <c r="FO214" s="21"/>
      <c r="FP214" s="21"/>
      <c r="FQ214" s="21"/>
      <c r="FR214" s="21"/>
      <c r="FS214" s="21"/>
      <c r="FT214" s="21"/>
      <c r="FU214" s="21"/>
      <c r="FV214" s="21"/>
      <c r="FW214" s="21"/>
      <c r="FX214" s="21"/>
      <c r="FY214" s="21"/>
      <c r="FZ214" s="21"/>
      <c r="GA214" s="21"/>
      <c r="GB214" s="21"/>
      <c r="GC214" s="21"/>
      <c r="GD214" s="21"/>
      <c r="GE214" s="21"/>
      <c r="GF214" s="21"/>
      <c r="GG214" s="21"/>
      <c r="GH214" s="21"/>
      <c r="GI214" s="21"/>
      <c r="GJ214" s="21"/>
      <c r="GK214" s="21"/>
      <c r="GL214" s="21"/>
      <c r="GM214" s="21"/>
      <c r="GN214" s="21"/>
      <c r="GO214" s="21"/>
      <c r="GP214" s="21"/>
      <c r="GQ214" s="21"/>
      <c r="GR214" s="21"/>
      <c r="GS214" s="21"/>
      <c r="GT214" s="21"/>
      <c r="GU214" s="21"/>
      <c r="GV214" s="21"/>
      <c r="GW214" s="21"/>
      <c r="GX214" s="21"/>
      <c r="GY214" s="21"/>
      <c r="GZ214" s="21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  <c r="HM214" s="21"/>
      <c r="HN214" s="21"/>
      <c r="HO214" s="21"/>
      <c r="HP214" s="21"/>
      <c r="HQ214" s="21"/>
      <c r="HR214" s="21"/>
      <c r="HS214" s="21"/>
      <c r="HT214" s="21"/>
      <c r="HU214" s="21"/>
      <c r="HV214" s="21"/>
      <c r="HW214" s="21"/>
      <c r="HX214" s="21"/>
      <c r="HY214" s="21"/>
      <c r="HZ214" s="21"/>
      <c r="IA214" s="21"/>
      <c r="IB214" s="21"/>
      <c r="IC214" s="21"/>
      <c r="ID214" s="21"/>
      <c r="IE214" s="21"/>
      <c r="IF214" s="21"/>
      <c r="IG214" s="21"/>
      <c r="IH214" s="21"/>
      <c r="II214" s="21"/>
      <c r="IJ214" s="21"/>
      <c r="IK214" s="21"/>
      <c r="IL214" s="21"/>
      <c r="IM214" s="21"/>
      <c r="IN214" s="21"/>
      <c r="IO214" s="21"/>
      <c r="IP214" s="21"/>
      <c r="IQ214" s="21"/>
      <c r="IR214" s="21"/>
      <c r="IS214" s="21"/>
      <c r="IT214" s="21"/>
      <c r="IU214" s="21"/>
    </row>
    <row r="215" spans="1:255" ht="24" x14ac:dyDescent="0.2">
      <c r="A215" s="77" t="s">
        <v>209</v>
      </c>
      <c r="B215" s="83" t="s">
        <v>75</v>
      </c>
      <c r="C215" s="78" t="s">
        <v>76</v>
      </c>
      <c r="D215" s="79" t="s">
        <v>33</v>
      </c>
      <c r="E215" s="80">
        <f>Source!I69</f>
        <v>420.2</v>
      </c>
      <c r="F215" s="81" t="e">
        <f>DI215</f>
        <v>#REF!</v>
      </c>
      <c r="G215" s="82" t="e">
        <f>U215</f>
        <v>#REF!</v>
      </c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 t="e">
        <f>Source!P69</f>
        <v>#REF!</v>
      </c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  <c r="DD215" s="21"/>
      <c r="DE215" s="21"/>
      <c r="DF215" s="21"/>
      <c r="DG215" s="21"/>
      <c r="DH215" s="21"/>
      <c r="DI215" s="21" t="e">
        <f>IF(E209&gt;0,ROUND(Source!P69/E209,2),0)</f>
        <v>#REF!</v>
      </c>
      <c r="DJ215" s="21"/>
      <c r="DK215" s="21"/>
      <c r="DL215" s="177" t="e">
        <f>F215</f>
        <v>#REF!</v>
      </c>
      <c r="DM215" s="21" t="e">
        <f>Source!P69</f>
        <v>#REF!</v>
      </c>
      <c r="DN215" s="21"/>
      <c r="DO215" s="21"/>
      <c r="DP215" s="21"/>
      <c r="DQ215" s="21"/>
      <c r="DR215" s="21"/>
      <c r="DS215" s="21"/>
      <c r="DT215" s="21"/>
      <c r="DU215" s="21"/>
      <c r="DV215" s="21"/>
      <c r="DW215" s="21"/>
      <c r="DX215" s="21"/>
      <c r="DY215" s="21"/>
      <c r="DZ215" s="21"/>
      <c r="EA215" s="21"/>
      <c r="EB215" s="21"/>
      <c r="EC215" s="21"/>
      <c r="ED215" s="21"/>
      <c r="EE215" s="21"/>
      <c r="EF215" s="21"/>
      <c r="EG215" s="21"/>
      <c r="EH215" s="21"/>
      <c r="EI215" s="21"/>
      <c r="EJ215" s="21"/>
      <c r="EK215" s="21"/>
      <c r="EL215" s="21"/>
      <c r="EM215" s="21"/>
      <c r="EN215" s="21"/>
      <c r="EO215" s="21"/>
      <c r="EP215" s="21"/>
      <c r="EQ215" s="21"/>
      <c r="ER215" s="21"/>
      <c r="ES215" s="21"/>
      <c r="ET215" s="21"/>
      <c r="EU215" s="21"/>
      <c r="EV215" s="21"/>
      <c r="EW215" s="21"/>
      <c r="EX215" s="21"/>
      <c r="EY215" s="21"/>
      <c r="EZ215" s="21"/>
      <c r="FA215" s="21"/>
      <c r="FB215" s="21"/>
      <c r="FC215" s="21"/>
      <c r="FD215" s="21"/>
      <c r="FE215" s="21"/>
      <c r="FF215" s="21"/>
      <c r="FG215" s="21"/>
      <c r="FH215" s="21"/>
      <c r="FI215" s="21"/>
      <c r="FJ215" s="21"/>
      <c r="FK215" s="21"/>
      <c r="FL215" s="21"/>
      <c r="FM215" s="21"/>
      <c r="FN215" s="21"/>
      <c r="FO215" s="21"/>
      <c r="FP215" s="21"/>
      <c r="FQ215" s="21"/>
      <c r="FR215" s="21"/>
      <c r="FS215" s="21"/>
      <c r="FT215" s="21"/>
      <c r="FU215" s="21"/>
      <c r="FV215" s="21"/>
      <c r="FW215" s="21"/>
      <c r="FX215" s="21"/>
      <c r="FY215" s="21"/>
      <c r="FZ215" s="21"/>
      <c r="GA215" s="21"/>
      <c r="GB215" s="21"/>
      <c r="GC215" s="21"/>
      <c r="GD215" s="21"/>
      <c r="GE215" s="21"/>
      <c r="GF215" s="21"/>
      <c r="GG215" s="21"/>
      <c r="GH215" s="21"/>
      <c r="GI215" s="21"/>
      <c r="GJ215" s="21"/>
      <c r="GK215" s="21"/>
      <c r="GL215" s="21"/>
      <c r="GM215" s="21"/>
      <c r="GN215" s="21"/>
      <c r="GO215" s="21"/>
      <c r="GP215" s="21"/>
      <c r="GQ215" s="21"/>
      <c r="GR215" s="21"/>
      <c r="GS215" s="21"/>
      <c r="GT215" s="21"/>
      <c r="GU215" s="21"/>
      <c r="GV215" s="21"/>
      <c r="GW215" s="21"/>
      <c r="GX215" s="21"/>
      <c r="GY215" s="21"/>
      <c r="GZ215" s="21"/>
      <c r="HA215" s="21"/>
      <c r="HB215" s="21"/>
      <c r="HC215" s="21"/>
      <c r="HD215" s="21"/>
      <c r="HE215" s="21"/>
      <c r="HF215" s="21"/>
      <c r="HG215" s="21"/>
      <c r="HH215" s="21"/>
      <c r="HI215" s="21"/>
      <c r="HJ215" s="21"/>
      <c r="HK215" s="21"/>
      <c r="HL215" s="21"/>
      <c r="HM215" s="21"/>
      <c r="HN215" s="21"/>
      <c r="HO215" s="21"/>
      <c r="HP215" s="21"/>
      <c r="HQ215" s="21"/>
      <c r="HR215" s="21"/>
      <c r="HS215" s="21"/>
      <c r="HT215" s="21"/>
      <c r="HU215" s="21"/>
      <c r="HV215" s="21"/>
      <c r="HW215" s="21"/>
      <c r="HX215" s="21"/>
      <c r="HY215" s="21"/>
      <c r="HZ215" s="21"/>
      <c r="IA215" s="21"/>
      <c r="IB215" s="21"/>
      <c r="IC215" s="21"/>
      <c r="ID215" s="21"/>
      <c r="IE215" s="21"/>
      <c r="IF215" s="21"/>
      <c r="IG215" s="21"/>
      <c r="IH215" s="21"/>
      <c r="II215" s="21"/>
      <c r="IJ215" s="21"/>
      <c r="IK215" s="21"/>
      <c r="IL215" s="21"/>
      <c r="IM215" s="21"/>
      <c r="IN215" s="21"/>
      <c r="IO215" s="21"/>
      <c r="IP215" s="21"/>
      <c r="IQ215" s="21"/>
      <c r="IR215" s="21"/>
      <c r="IS215" s="21"/>
      <c r="IT215" s="21"/>
      <c r="IU215" s="21"/>
    </row>
    <row r="216" spans="1:255" ht="13.5" thickBot="1" x14ac:dyDescent="0.25">
      <c r="A216" s="89"/>
      <c r="B216" s="90"/>
      <c r="C216" s="90" t="s">
        <v>587</v>
      </c>
      <c r="D216" s="90"/>
      <c r="E216" s="90"/>
      <c r="F216" s="178" t="e">
        <f>SUM(DL209:DL215)</f>
        <v>#REF!</v>
      </c>
      <c r="G216" s="179" t="e">
        <f>SUM(DM209:DM215)</f>
        <v>#REF!</v>
      </c>
      <c r="H216" s="84"/>
      <c r="I216" s="84"/>
      <c r="J216" s="84"/>
      <c r="K216" s="84"/>
      <c r="L216" s="84"/>
      <c r="M216" s="84"/>
      <c r="N216" s="84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DP216" s="21"/>
      <c r="DQ216" s="21"/>
      <c r="DR216" s="21"/>
      <c r="DS216" s="21"/>
      <c r="DT216" s="21"/>
      <c r="DU216" s="21"/>
      <c r="DV216" s="21"/>
      <c r="DW216" s="21"/>
      <c r="DX216" s="21"/>
      <c r="DY216" s="21"/>
      <c r="DZ216" s="21"/>
      <c r="EA216" s="21"/>
      <c r="EB216" s="21"/>
      <c r="EC216" s="21"/>
      <c r="ED216" s="21"/>
      <c r="EE216" s="21"/>
      <c r="EF216" s="21"/>
      <c r="EG216" s="21"/>
      <c r="EH216" s="21"/>
      <c r="EI216" s="21"/>
      <c r="EJ216" s="21"/>
      <c r="EK216" s="21"/>
      <c r="EL216" s="21"/>
      <c r="EM216" s="21"/>
      <c r="EN216" s="21"/>
      <c r="EO216" s="21"/>
      <c r="EP216" s="21"/>
      <c r="EQ216" s="21"/>
      <c r="ER216" s="21"/>
      <c r="ES216" s="21"/>
      <c r="ET216" s="21"/>
      <c r="EU216" s="21"/>
      <c r="EV216" s="21"/>
      <c r="EW216" s="21"/>
      <c r="EX216" s="21"/>
      <c r="EY216" s="21"/>
      <c r="EZ216" s="21"/>
      <c r="FA216" s="21"/>
      <c r="FB216" s="21"/>
      <c r="FC216" s="21"/>
      <c r="FD216" s="21"/>
      <c r="FE216" s="21"/>
      <c r="FF216" s="21"/>
      <c r="FG216" s="21"/>
      <c r="FH216" s="21"/>
      <c r="FI216" s="21"/>
      <c r="FJ216" s="21"/>
      <c r="FK216" s="21"/>
      <c r="FL216" s="21"/>
      <c r="FM216" s="21"/>
      <c r="FN216" s="21"/>
      <c r="FO216" s="21"/>
      <c r="FP216" s="21"/>
      <c r="FQ216" s="21"/>
      <c r="FR216" s="21"/>
      <c r="FS216" s="21"/>
      <c r="FT216" s="21"/>
      <c r="FU216" s="21"/>
      <c r="FV216" s="21"/>
      <c r="FW216" s="21"/>
      <c r="FX216" s="21"/>
      <c r="FY216" s="21"/>
      <c r="FZ216" s="21"/>
      <c r="GA216" s="21"/>
      <c r="GB216" s="21"/>
      <c r="GC216" s="21"/>
      <c r="GD216" s="21"/>
      <c r="GE216" s="21"/>
      <c r="GF216" s="21"/>
      <c r="GG216" s="21"/>
      <c r="GH216" s="21"/>
      <c r="GI216" s="21"/>
      <c r="GJ216" s="21"/>
      <c r="GK216" s="21"/>
      <c r="GL216" s="21"/>
      <c r="GM216" s="21"/>
      <c r="GN216" s="21"/>
      <c r="GO216" s="21"/>
      <c r="GP216" s="21"/>
      <c r="GQ216" s="21"/>
      <c r="GR216" s="21"/>
      <c r="GS216" s="21"/>
      <c r="GT216" s="21"/>
      <c r="GU216" s="21"/>
      <c r="GV216" s="21"/>
      <c r="GW216" s="21"/>
      <c r="GX216" s="21"/>
      <c r="GY216" s="21"/>
      <c r="GZ216" s="21"/>
      <c r="HA216" s="21"/>
      <c r="HB216" s="21"/>
      <c r="HC216" s="21"/>
      <c r="HD216" s="21"/>
      <c r="HE216" s="21"/>
      <c r="HF216" s="21"/>
      <c r="HG216" s="21"/>
      <c r="HH216" s="21"/>
      <c r="HI216" s="21"/>
      <c r="HJ216" s="21"/>
      <c r="HK216" s="21"/>
      <c r="HL216" s="21"/>
      <c r="HM216" s="21"/>
      <c r="HN216" s="21"/>
      <c r="HO216" s="21"/>
      <c r="HP216" s="21"/>
      <c r="HQ216" s="21"/>
      <c r="HR216" s="21"/>
      <c r="HS216" s="21"/>
      <c r="HT216" s="21"/>
      <c r="HU216" s="21"/>
      <c r="HV216" s="21"/>
      <c r="HW216" s="21"/>
      <c r="HX216" s="21"/>
      <c r="HY216" s="21"/>
      <c r="HZ216" s="21"/>
      <c r="IA216" s="21"/>
      <c r="IB216" s="21"/>
      <c r="IC216" s="21"/>
      <c r="ID216" s="21"/>
      <c r="IE216" s="21"/>
      <c r="IF216" s="21"/>
      <c r="IG216" s="21"/>
      <c r="IH216" s="21"/>
      <c r="II216" s="21"/>
      <c r="IJ216" s="21"/>
      <c r="IK216" s="21"/>
      <c r="IL216" s="21"/>
      <c r="IM216" s="21"/>
      <c r="IN216" s="21"/>
      <c r="IO216" s="21"/>
      <c r="IP216" s="21"/>
      <c r="IQ216" s="21"/>
      <c r="IR216" s="21"/>
      <c r="IS216" s="21"/>
      <c r="IT216" s="21"/>
      <c r="IU216" s="21"/>
    </row>
    <row r="217" spans="1:255" x14ac:dyDescent="0.2">
      <c r="A217" s="86"/>
      <c r="B217" s="85"/>
      <c r="C217" s="85" t="s">
        <v>588</v>
      </c>
      <c r="D217" s="85"/>
      <c r="E217" s="85"/>
      <c r="F217" s="87" t="e">
        <f>SUM(DI209:DI216)</f>
        <v>#REF!</v>
      </c>
      <c r="G217" s="88" t="e">
        <f>S217</f>
        <v>#REF!</v>
      </c>
      <c r="O217" s="21"/>
      <c r="P217" s="21"/>
      <c r="Q217" s="21"/>
      <c r="R217" s="21"/>
      <c r="S217" s="21" t="e">
        <f>SUM(U209:U216)</f>
        <v>#REF!</v>
      </c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  <c r="FE217" s="21"/>
      <c r="FF217" s="21"/>
      <c r="FG217" s="21"/>
      <c r="FH217" s="21"/>
      <c r="FI217" s="21"/>
      <c r="FJ217" s="21"/>
      <c r="FK217" s="21"/>
      <c r="FL217" s="21"/>
      <c r="FM217" s="21"/>
      <c r="FN217" s="21"/>
      <c r="FO217" s="21"/>
      <c r="FP217" s="21"/>
      <c r="FQ217" s="21"/>
      <c r="FR217" s="21"/>
      <c r="FS217" s="21"/>
      <c r="FT217" s="21"/>
      <c r="FU217" s="21"/>
      <c r="FV217" s="21"/>
      <c r="FW217" s="21"/>
      <c r="FX217" s="21"/>
      <c r="FY217" s="21"/>
      <c r="FZ217" s="21"/>
      <c r="GA217" s="21"/>
      <c r="GB217" s="21"/>
      <c r="GC217" s="21"/>
      <c r="GD217" s="21"/>
      <c r="GE217" s="21"/>
      <c r="GF217" s="21"/>
      <c r="GG217" s="21"/>
      <c r="GH217" s="21"/>
      <c r="GI217" s="21"/>
      <c r="GJ217" s="21"/>
      <c r="GK217" s="21"/>
      <c r="GL217" s="21"/>
      <c r="GM217" s="21"/>
      <c r="GN217" s="21"/>
      <c r="GO217" s="21"/>
      <c r="GP217" s="21"/>
      <c r="GQ217" s="21"/>
      <c r="GR217" s="21"/>
      <c r="GS217" s="21"/>
      <c r="GT217" s="21"/>
      <c r="GU217" s="21"/>
      <c r="GV217" s="21"/>
      <c r="GW217" s="21"/>
      <c r="GX217" s="21"/>
      <c r="GY217" s="21"/>
      <c r="GZ217" s="21"/>
      <c r="HA217" s="21"/>
      <c r="HB217" s="21"/>
      <c r="HC217" s="21"/>
      <c r="HD217" s="21"/>
      <c r="HE217" s="21"/>
      <c r="HF217" s="21"/>
      <c r="HG217" s="21"/>
      <c r="HH217" s="21"/>
      <c r="HI217" s="21"/>
      <c r="HJ217" s="21"/>
      <c r="HK217" s="21"/>
      <c r="HL217" s="21"/>
      <c r="HM217" s="21"/>
      <c r="HN217" s="21"/>
      <c r="HO217" s="21"/>
      <c r="HP217" s="21"/>
      <c r="HQ217" s="21"/>
      <c r="HR217" s="21"/>
      <c r="HS217" s="21"/>
      <c r="HT217" s="21"/>
      <c r="HU217" s="21"/>
      <c r="HV217" s="21"/>
      <c r="HW217" s="21"/>
      <c r="HX217" s="21"/>
      <c r="HY217" s="21"/>
      <c r="HZ217" s="21"/>
      <c r="IA217" s="21"/>
      <c r="IB217" s="21"/>
      <c r="IC217" s="21"/>
      <c r="ID217" s="21"/>
      <c r="IE217" s="21"/>
      <c r="IF217" s="21"/>
      <c r="IG217" s="21"/>
      <c r="IH217" s="21"/>
      <c r="II217" s="21"/>
      <c r="IJ217" s="21"/>
      <c r="IK217" s="21"/>
      <c r="IL217" s="21"/>
      <c r="IM217" s="21"/>
      <c r="IN217" s="21"/>
      <c r="IO217" s="21"/>
      <c r="IP217" s="21"/>
      <c r="IQ217" s="21"/>
      <c r="IR217" s="21"/>
      <c r="IS217" s="21"/>
      <c r="IT217" s="21"/>
      <c r="IU217" s="21"/>
    </row>
    <row r="218" spans="1:255" x14ac:dyDescent="0.2">
      <c r="A218" s="59"/>
      <c r="B218" s="58"/>
      <c r="C218" s="58"/>
      <c r="D218" s="58"/>
      <c r="E218" s="58"/>
      <c r="F218" s="58"/>
      <c r="G218" s="60"/>
    </row>
    <row r="219" spans="1:255" ht="24" x14ac:dyDescent="0.2">
      <c r="A219" s="91">
        <v>15</v>
      </c>
      <c r="B219" s="97" t="s">
        <v>211</v>
      </c>
      <c r="C219" s="92" t="s">
        <v>212</v>
      </c>
      <c r="D219" s="93" t="s">
        <v>19</v>
      </c>
      <c r="E219" s="94">
        <v>1.5069999999999999</v>
      </c>
      <c r="F219" s="95" t="e">
        <f>IF(E219&gt;0,ROUND((Source!O70+Source!X70+Source!Y70)/E219,2),0)</f>
        <v>#REF!</v>
      </c>
      <c r="G219" s="96" t="e">
        <f>SUM(DS219:DS224)</f>
        <v>#REF!</v>
      </c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DP219" s="21"/>
      <c r="DQ219" s="21"/>
      <c r="DR219" s="21"/>
      <c r="DS219" s="21"/>
      <c r="DT219" s="21"/>
      <c r="DU219" s="21"/>
      <c r="DV219" s="21"/>
      <c r="DW219" s="21"/>
      <c r="DX219" s="21"/>
      <c r="DY219" s="21"/>
      <c r="DZ219" s="21"/>
      <c r="EA219" s="21"/>
      <c r="EB219" s="21"/>
      <c r="EC219" s="21"/>
      <c r="ED219" s="21"/>
      <c r="EE219" s="21"/>
      <c r="EF219" s="21"/>
      <c r="EG219" s="21"/>
      <c r="EH219" s="21"/>
      <c r="EI219" s="21"/>
      <c r="EJ219" s="21"/>
      <c r="EK219" s="21"/>
      <c r="EL219" s="21"/>
      <c r="EM219" s="21"/>
      <c r="EN219" s="21"/>
      <c r="EO219" s="21"/>
      <c r="EP219" s="21"/>
      <c r="EQ219" s="21"/>
      <c r="ER219" s="21"/>
      <c r="ES219" s="21"/>
      <c r="ET219" s="21"/>
      <c r="EU219" s="21"/>
      <c r="EV219" s="21"/>
      <c r="EW219" s="21"/>
      <c r="EX219" s="21"/>
      <c r="EY219" s="21"/>
      <c r="EZ219" s="21"/>
      <c r="FA219" s="21"/>
      <c r="FB219" s="21"/>
      <c r="FC219" s="21"/>
      <c r="FD219" s="21"/>
      <c r="FE219" s="21"/>
      <c r="FF219" s="21"/>
      <c r="FG219" s="21"/>
      <c r="FH219" s="21"/>
      <c r="FI219" s="21"/>
      <c r="FJ219" s="21"/>
      <c r="FK219" s="21"/>
      <c r="FL219" s="21"/>
      <c r="FM219" s="21"/>
      <c r="FN219" s="21"/>
      <c r="FO219" s="21"/>
      <c r="FP219" s="21"/>
      <c r="FQ219" s="21"/>
      <c r="FR219" s="21"/>
      <c r="FS219" s="21"/>
      <c r="FT219" s="21"/>
      <c r="FU219" s="21"/>
      <c r="FV219" s="21"/>
      <c r="FW219" s="21"/>
      <c r="FX219" s="21"/>
      <c r="FY219" s="21"/>
      <c r="FZ219" s="21"/>
      <c r="GA219" s="21"/>
      <c r="GB219" s="21"/>
      <c r="GC219" s="21"/>
      <c r="GD219" s="21"/>
      <c r="GE219" s="21"/>
      <c r="GF219" s="21"/>
      <c r="GG219" s="21"/>
      <c r="GH219" s="21"/>
      <c r="GI219" s="21"/>
      <c r="GJ219" s="21"/>
      <c r="GK219" s="21"/>
      <c r="GL219" s="21"/>
      <c r="GM219" s="21"/>
      <c r="GN219" s="21"/>
      <c r="GO219" s="21"/>
      <c r="GP219" s="21"/>
      <c r="GQ219" s="21"/>
      <c r="GR219" s="21"/>
      <c r="GS219" s="21"/>
      <c r="GT219" s="21"/>
      <c r="GU219" s="21"/>
      <c r="GV219" s="21"/>
      <c r="GW219" s="21"/>
      <c r="GX219" s="21"/>
      <c r="GY219" s="21"/>
      <c r="GZ219" s="21"/>
      <c r="HA219" s="21"/>
      <c r="HB219" s="21"/>
      <c r="HC219" s="21"/>
      <c r="HD219" s="21"/>
      <c r="HE219" s="21"/>
      <c r="HF219" s="21"/>
      <c r="HG219" s="21"/>
      <c r="HH219" s="21"/>
      <c r="HI219" s="21"/>
      <c r="HJ219" s="21"/>
      <c r="HK219" s="21"/>
      <c r="HL219" s="21"/>
      <c r="HM219" s="21"/>
      <c r="HN219" s="21"/>
      <c r="HO219" s="21"/>
      <c r="HP219" s="21"/>
      <c r="HQ219" s="21"/>
      <c r="HR219" s="21"/>
      <c r="HS219" s="21"/>
      <c r="HT219" s="21"/>
      <c r="HU219" s="21"/>
      <c r="HV219" s="21"/>
      <c r="HW219" s="21"/>
      <c r="HX219" s="21"/>
      <c r="HY219" s="21"/>
      <c r="HZ219" s="21"/>
      <c r="IA219" s="21"/>
      <c r="IB219" s="21"/>
      <c r="IC219" s="21"/>
      <c r="ID219" s="21"/>
      <c r="IE219" s="21"/>
      <c r="IF219" s="21"/>
      <c r="IG219" s="21"/>
      <c r="IH219" s="21"/>
      <c r="II219" s="21"/>
      <c r="IJ219" s="21"/>
      <c r="IK219" s="21"/>
      <c r="IL219" s="21"/>
      <c r="IM219" s="21"/>
      <c r="IN219" s="21"/>
      <c r="IO219" s="21"/>
      <c r="IP219" s="21"/>
      <c r="IQ219" s="21"/>
      <c r="IR219" s="21"/>
      <c r="IS219" s="21"/>
      <c r="IT219" s="21"/>
      <c r="IU219" s="21"/>
    </row>
    <row r="220" spans="1:255" x14ac:dyDescent="0.2">
      <c r="A220" s="55"/>
      <c r="B220" s="57" t="str">
        <f>IF(Source!I70=1.507," Расчет объема","")</f>
        <v xml:space="preserve"> Расчет объема</v>
      </c>
      <c r="C220" s="57" t="str">
        <f>IF(Source!I70=1.507,"   1507/1000 = 1,507","")</f>
        <v xml:space="preserve">   1507/1000 = 1,507</v>
      </c>
      <c r="D220" s="54"/>
      <c r="E220" s="54"/>
      <c r="F220" s="54"/>
      <c r="G220" s="56"/>
    </row>
    <row r="221" spans="1:255" x14ac:dyDescent="0.2">
      <c r="A221" s="61"/>
      <c r="B221" s="62"/>
      <c r="C221" s="62" t="s">
        <v>579</v>
      </c>
      <c r="D221" s="63"/>
      <c r="E221" s="64"/>
      <c r="F221" s="65" t="e">
        <f>DI221</f>
        <v>#REF!</v>
      </c>
      <c r="G221" s="66" t="e">
        <f>U221</f>
        <v>#REF!</v>
      </c>
      <c r="O221" s="21"/>
      <c r="P221" s="21"/>
      <c r="Q221" s="21"/>
      <c r="R221" s="21"/>
      <c r="S221" s="21"/>
      <c r="T221" s="21"/>
      <c r="U221" s="21" t="e">
        <f>Source!Q70</f>
        <v>#REF!</v>
      </c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  <c r="DD221" s="21"/>
      <c r="DE221" s="21"/>
      <c r="DF221" s="21"/>
      <c r="DG221" s="21"/>
      <c r="DH221" s="21"/>
      <c r="DI221" s="21" t="e">
        <f>IF(E219&gt;0,ROUND(Source!Q70/E219,2),0)</f>
        <v>#REF!</v>
      </c>
      <c r="DJ221" s="21"/>
      <c r="DK221" s="21"/>
      <c r="DL221" s="21"/>
      <c r="DM221" s="21"/>
      <c r="DN221" s="21"/>
      <c r="DO221" s="21"/>
      <c r="DP221" s="21"/>
      <c r="DQ221" s="21"/>
      <c r="DR221" s="21" t="e">
        <f>DI221</f>
        <v>#REF!</v>
      </c>
      <c r="DS221" s="21" t="e">
        <f>U221</f>
        <v>#REF!</v>
      </c>
      <c r="DT221" s="21"/>
      <c r="DU221" s="21"/>
      <c r="DV221" s="21"/>
      <c r="DW221" s="21"/>
      <c r="DX221" s="21"/>
      <c r="DY221" s="21"/>
      <c r="DZ221" s="21"/>
      <c r="EA221" s="21"/>
      <c r="EB221" s="21"/>
      <c r="EC221" s="21"/>
      <c r="ED221" s="21"/>
      <c r="EE221" s="21"/>
      <c r="EF221" s="21"/>
      <c r="EG221" s="21"/>
      <c r="EH221" s="21"/>
      <c r="EI221" s="21"/>
      <c r="EJ221" s="21"/>
      <c r="EK221" s="21"/>
      <c r="EL221" s="21"/>
      <c r="EM221" s="21"/>
      <c r="EN221" s="21"/>
      <c r="EO221" s="21"/>
      <c r="EP221" s="21"/>
      <c r="EQ221" s="21"/>
      <c r="ER221" s="21"/>
      <c r="ES221" s="21"/>
      <c r="ET221" s="21"/>
      <c r="EU221" s="21"/>
      <c r="EV221" s="21"/>
      <c r="EW221" s="21"/>
      <c r="EX221" s="21"/>
      <c r="EY221" s="21"/>
      <c r="EZ221" s="21"/>
      <c r="FA221" s="21"/>
      <c r="FB221" s="21"/>
      <c r="FC221" s="21"/>
      <c r="FD221" s="21"/>
      <c r="FE221" s="21"/>
      <c r="FF221" s="21"/>
      <c r="FG221" s="21"/>
      <c r="FH221" s="21"/>
      <c r="FI221" s="21"/>
      <c r="FJ221" s="21"/>
      <c r="FK221" s="21"/>
      <c r="FL221" s="21"/>
      <c r="FM221" s="21"/>
      <c r="FN221" s="21"/>
      <c r="FO221" s="21"/>
      <c r="FP221" s="21"/>
      <c r="FQ221" s="21"/>
      <c r="FR221" s="21"/>
      <c r="FS221" s="21"/>
      <c r="FT221" s="21"/>
      <c r="FU221" s="21"/>
      <c r="FV221" s="21"/>
      <c r="FW221" s="21"/>
      <c r="FX221" s="21"/>
      <c r="FY221" s="21"/>
      <c r="FZ221" s="21"/>
      <c r="GA221" s="21"/>
      <c r="GB221" s="21"/>
      <c r="GC221" s="21"/>
      <c r="GD221" s="21"/>
      <c r="GE221" s="21"/>
      <c r="GF221" s="21"/>
      <c r="GG221" s="21"/>
      <c r="GH221" s="21"/>
      <c r="GI221" s="21"/>
      <c r="GJ221" s="21"/>
      <c r="GK221" s="21"/>
      <c r="GL221" s="21"/>
      <c r="GM221" s="21"/>
      <c r="GN221" s="21"/>
      <c r="GO221" s="21"/>
      <c r="GP221" s="21"/>
      <c r="GQ221" s="21"/>
      <c r="GR221" s="21"/>
      <c r="GS221" s="21"/>
      <c r="GT221" s="21"/>
      <c r="GU221" s="21"/>
      <c r="GV221" s="21"/>
      <c r="GW221" s="21"/>
      <c r="GX221" s="21"/>
      <c r="GY221" s="21"/>
      <c r="GZ221" s="21"/>
      <c r="HA221" s="21"/>
      <c r="HB221" s="21"/>
      <c r="HC221" s="21"/>
      <c r="HD221" s="21"/>
      <c r="HE221" s="21"/>
      <c r="HF221" s="21"/>
      <c r="HG221" s="21"/>
      <c r="HH221" s="21"/>
      <c r="HI221" s="21"/>
      <c r="HJ221" s="21"/>
      <c r="HK221" s="21"/>
      <c r="HL221" s="21"/>
      <c r="HM221" s="21"/>
      <c r="HN221" s="21"/>
      <c r="HO221" s="21"/>
      <c r="HP221" s="21"/>
      <c r="HQ221" s="21"/>
      <c r="HR221" s="21"/>
      <c r="HS221" s="21"/>
      <c r="HT221" s="21"/>
      <c r="HU221" s="21"/>
      <c r="HV221" s="21"/>
      <c r="HW221" s="21"/>
      <c r="HX221" s="21"/>
      <c r="HY221" s="21"/>
      <c r="HZ221" s="21"/>
      <c r="IA221" s="21"/>
      <c r="IB221" s="21"/>
      <c r="IC221" s="21"/>
      <c r="ID221" s="21"/>
      <c r="IE221" s="21"/>
      <c r="IF221" s="21"/>
      <c r="IG221" s="21"/>
      <c r="IH221" s="21"/>
      <c r="II221" s="21"/>
      <c r="IJ221" s="21"/>
      <c r="IK221" s="21"/>
      <c r="IL221" s="21"/>
      <c r="IM221" s="21"/>
      <c r="IN221" s="21"/>
      <c r="IO221" s="21"/>
      <c r="IP221" s="21"/>
      <c r="IQ221" s="21"/>
      <c r="IR221" s="21"/>
      <c r="IS221" s="21"/>
      <c r="IT221" s="21"/>
      <c r="IU221" s="21"/>
    </row>
    <row r="222" spans="1:255" x14ac:dyDescent="0.2">
      <c r="A222" s="61"/>
      <c r="B222" s="62"/>
      <c r="C222" s="62" t="s">
        <v>580</v>
      </c>
      <c r="D222" s="63"/>
      <c r="E222" s="64"/>
      <c r="F222" s="65" t="e">
        <f>IF(E219&gt;0,ROUND(Source!R70/E219,2),0)</f>
        <v>#REF!</v>
      </c>
      <c r="G222" s="66" t="e">
        <f>Source!R70</f>
        <v>#REF!</v>
      </c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  <c r="DE222" s="21"/>
      <c r="DF222" s="21"/>
      <c r="DG222" s="21"/>
      <c r="DH222" s="21"/>
      <c r="DI222" s="21"/>
      <c r="DJ222" s="21"/>
      <c r="DK222" s="21"/>
      <c r="DL222" s="21"/>
      <c r="DM222" s="21"/>
      <c r="DN222" s="21"/>
      <c r="DO222" s="21"/>
      <c r="DP222" s="21"/>
      <c r="DQ222" s="21"/>
      <c r="DR222" s="21"/>
      <c r="DS222" s="21"/>
      <c r="DT222" s="21"/>
      <c r="DU222" s="21"/>
      <c r="DV222" s="21"/>
      <c r="DW222" s="21"/>
      <c r="DX222" s="21"/>
      <c r="DY222" s="21"/>
      <c r="DZ222" s="21"/>
      <c r="EA222" s="21"/>
      <c r="EB222" s="21"/>
      <c r="EC222" s="21"/>
      <c r="ED222" s="21"/>
      <c r="EE222" s="21"/>
      <c r="EF222" s="21"/>
      <c r="EG222" s="21"/>
      <c r="EH222" s="21"/>
      <c r="EI222" s="21"/>
      <c r="EJ222" s="21"/>
      <c r="EK222" s="21"/>
      <c r="EL222" s="21"/>
      <c r="EM222" s="21"/>
      <c r="EN222" s="21"/>
      <c r="EO222" s="21"/>
      <c r="EP222" s="21"/>
      <c r="EQ222" s="21"/>
      <c r="ER222" s="21"/>
      <c r="ES222" s="21"/>
      <c r="ET222" s="21"/>
      <c r="EU222" s="21"/>
      <c r="EV222" s="21"/>
      <c r="EW222" s="21"/>
      <c r="EX222" s="21"/>
      <c r="EY222" s="21"/>
      <c r="EZ222" s="21"/>
      <c r="FA222" s="21"/>
      <c r="FB222" s="21"/>
      <c r="FC222" s="21"/>
      <c r="FD222" s="21"/>
      <c r="FE222" s="21"/>
      <c r="FF222" s="21"/>
      <c r="FG222" s="21"/>
      <c r="FH222" s="21"/>
      <c r="FI222" s="21"/>
      <c r="FJ222" s="21"/>
      <c r="FK222" s="21"/>
      <c r="FL222" s="21"/>
      <c r="FM222" s="21"/>
      <c r="FN222" s="21"/>
      <c r="FO222" s="21"/>
      <c r="FP222" s="21"/>
      <c r="FQ222" s="21"/>
      <c r="FR222" s="21"/>
      <c r="FS222" s="21"/>
      <c r="FT222" s="21"/>
      <c r="FU222" s="21"/>
      <c r="FV222" s="21"/>
      <c r="FW222" s="21"/>
      <c r="FX222" s="21"/>
      <c r="FY222" s="21"/>
      <c r="FZ222" s="21"/>
      <c r="GA222" s="21"/>
      <c r="GB222" s="21"/>
      <c r="GC222" s="21"/>
      <c r="GD222" s="21"/>
      <c r="GE222" s="21"/>
      <c r="GF222" s="21"/>
      <c r="GG222" s="21"/>
      <c r="GH222" s="21"/>
      <c r="GI222" s="21"/>
      <c r="GJ222" s="21"/>
      <c r="GK222" s="21"/>
      <c r="GL222" s="21"/>
      <c r="GM222" s="21"/>
      <c r="GN222" s="21"/>
      <c r="GO222" s="21"/>
      <c r="GP222" s="21"/>
      <c r="GQ222" s="21"/>
      <c r="GR222" s="21"/>
      <c r="GS222" s="21"/>
      <c r="GT222" s="21"/>
      <c r="GU222" s="21"/>
      <c r="GV222" s="21"/>
      <c r="GW222" s="21"/>
      <c r="GX222" s="21"/>
      <c r="GY222" s="21"/>
      <c r="GZ222" s="21"/>
      <c r="HA222" s="21"/>
      <c r="HB222" s="21"/>
      <c r="HC222" s="21"/>
      <c r="HD222" s="21"/>
      <c r="HE222" s="21"/>
      <c r="HF222" s="21"/>
      <c r="HG222" s="21"/>
      <c r="HH222" s="21"/>
      <c r="HI222" s="21"/>
      <c r="HJ222" s="21"/>
      <c r="HK222" s="21"/>
      <c r="HL222" s="21"/>
      <c r="HM222" s="21"/>
      <c r="HN222" s="21"/>
      <c r="HO222" s="21"/>
      <c r="HP222" s="21"/>
      <c r="HQ222" s="21"/>
      <c r="HR222" s="21"/>
      <c r="HS222" s="21"/>
      <c r="HT222" s="21"/>
      <c r="HU222" s="21"/>
      <c r="HV222" s="21"/>
      <c r="HW222" s="21"/>
      <c r="HX222" s="21"/>
      <c r="HY222" s="21"/>
      <c r="HZ222" s="21"/>
      <c r="IA222" s="21"/>
      <c r="IB222" s="21"/>
      <c r="IC222" s="21"/>
      <c r="ID222" s="21"/>
      <c r="IE222" s="21"/>
      <c r="IF222" s="21"/>
      <c r="IG222" s="21"/>
      <c r="IH222" s="21"/>
      <c r="II222" s="21"/>
      <c r="IJ222" s="21"/>
      <c r="IK222" s="21"/>
      <c r="IL222" s="21"/>
      <c r="IM222" s="21"/>
      <c r="IN222" s="21"/>
      <c r="IO222" s="21"/>
      <c r="IP222" s="21"/>
      <c r="IQ222" s="21"/>
      <c r="IR222" s="21"/>
      <c r="IS222" s="21"/>
      <c r="IT222" s="21"/>
      <c r="IU222" s="21"/>
    </row>
    <row r="223" spans="1:255" x14ac:dyDescent="0.2">
      <c r="A223" s="68"/>
      <c r="B223" s="69"/>
      <c r="C223" s="69" t="s">
        <v>582</v>
      </c>
      <c r="D223" s="70" t="s">
        <v>583</v>
      </c>
      <c r="E223" s="71">
        <v>92</v>
      </c>
      <c r="F223" s="72" t="e">
        <f>DI223</f>
        <v>#REF!</v>
      </c>
      <c r="G223" s="73" t="e">
        <f>U223</f>
        <v>#REF!</v>
      </c>
      <c r="O223" s="21"/>
      <c r="P223" s="21"/>
      <c r="Q223" s="21"/>
      <c r="R223" s="21"/>
      <c r="S223" s="21"/>
      <c r="T223" s="21"/>
      <c r="U223" s="21" t="e">
        <f>Source!X70</f>
        <v>#REF!</v>
      </c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 t="e">
        <f>IF(E219&gt;0,ROUND(Source!X70/E219,2),0)</f>
        <v>#REF!</v>
      </c>
      <c r="DJ223" s="21"/>
      <c r="DK223" s="21"/>
      <c r="DL223" s="21"/>
      <c r="DM223" s="21"/>
      <c r="DN223" s="21"/>
      <c r="DO223" s="21"/>
      <c r="DP223" s="21"/>
      <c r="DQ223" s="21"/>
      <c r="DR223" s="21" t="e">
        <f>DI223</f>
        <v>#REF!</v>
      </c>
      <c r="DS223" s="21" t="e">
        <f>U223</f>
        <v>#REF!</v>
      </c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  <c r="HS223" s="21"/>
      <c r="HT223" s="21"/>
      <c r="HU223" s="21"/>
      <c r="HV223" s="21"/>
      <c r="HW223" s="21"/>
      <c r="HX223" s="21"/>
      <c r="HY223" s="21"/>
      <c r="HZ223" s="21"/>
      <c r="IA223" s="21"/>
      <c r="IB223" s="21"/>
      <c r="IC223" s="21"/>
      <c r="ID223" s="21"/>
      <c r="IE223" s="21"/>
      <c r="IF223" s="21"/>
      <c r="IG223" s="21"/>
      <c r="IH223" s="21"/>
      <c r="II223" s="21"/>
      <c r="IJ223" s="21"/>
      <c r="IK223" s="21"/>
      <c r="IL223" s="21"/>
      <c r="IM223" s="21"/>
      <c r="IN223" s="21"/>
      <c r="IO223" s="21"/>
      <c r="IP223" s="21"/>
      <c r="IQ223" s="21"/>
      <c r="IR223" s="21"/>
      <c r="IS223" s="21"/>
      <c r="IT223" s="21"/>
      <c r="IU223" s="21"/>
    </row>
    <row r="224" spans="1:255" ht="13.5" thickBot="1" x14ac:dyDescent="0.25">
      <c r="A224" s="122"/>
      <c r="B224" s="123"/>
      <c r="C224" s="123" t="s">
        <v>584</v>
      </c>
      <c r="D224" s="124" t="s">
        <v>583</v>
      </c>
      <c r="E224" s="125">
        <v>46</v>
      </c>
      <c r="F224" s="126" t="e">
        <f>DI224</f>
        <v>#REF!</v>
      </c>
      <c r="G224" s="127" t="e">
        <f>U224</f>
        <v>#REF!</v>
      </c>
      <c r="O224" s="21"/>
      <c r="P224" s="21"/>
      <c r="Q224" s="21"/>
      <c r="R224" s="21"/>
      <c r="S224" s="21"/>
      <c r="T224" s="21"/>
      <c r="U224" s="21" t="e">
        <f>Source!Y70</f>
        <v>#REF!</v>
      </c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  <c r="DD224" s="21"/>
      <c r="DE224" s="21"/>
      <c r="DF224" s="21"/>
      <c r="DG224" s="21"/>
      <c r="DH224" s="21"/>
      <c r="DI224" s="21" t="e">
        <f>IF(E219&gt;0,ROUND(Source!Y70/E219,2),0)</f>
        <v>#REF!</v>
      </c>
      <c r="DJ224" s="21"/>
      <c r="DK224" s="21"/>
      <c r="DL224" s="21"/>
      <c r="DM224" s="21"/>
      <c r="DN224" s="21"/>
      <c r="DO224" s="21"/>
      <c r="DP224" s="21"/>
      <c r="DQ224" s="21"/>
      <c r="DR224" s="21" t="e">
        <f>DI224</f>
        <v>#REF!</v>
      </c>
      <c r="DS224" s="21" t="e">
        <f>U224</f>
        <v>#REF!</v>
      </c>
      <c r="DT224" s="21"/>
      <c r="DU224" s="21"/>
      <c r="DV224" s="21"/>
      <c r="DW224" s="21"/>
      <c r="DX224" s="21"/>
      <c r="DY224" s="21"/>
      <c r="DZ224" s="21"/>
      <c r="EA224" s="21"/>
      <c r="EB224" s="21"/>
      <c r="EC224" s="21"/>
      <c r="ED224" s="21"/>
      <c r="EE224" s="21"/>
      <c r="EF224" s="21"/>
      <c r="EG224" s="21"/>
      <c r="EH224" s="21"/>
      <c r="EI224" s="21"/>
      <c r="EJ224" s="21"/>
      <c r="EK224" s="21"/>
      <c r="EL224" s="21"/>
      <c r="EM224" s="21"/>
      <c r="EN224" s="21"/>
      <c r="EO224" s="21"/>
      <c r="EP224" s="21"/>
      <c r="EQ224" s="21"/>
      <c r="ER224" s="21"/>
      <c r="ES224" s="21"/>
      <c r="ET224" s="21"/>
      <c r="EU224" s="21"/>
      <c r="EV224" s="21"/>
      <c r="EW224" s="21"/>
      <c r="EX224" s="21"/>
      <c r="EY224" s="21"/>
      <c r="EZ224" s="21"/>
      <c r="FA224" s="21"/>
      <c r="FB224" s="21"/>
      <c r="FC224" s="21"/>
      <c r="FD224" s="21"/>
      <c r="FE224" s="21"/>
      <c r="FF224" s="21"/>
      <c r="FG224" s="21"/>
      <c r="FH224" s="21"/>
      <c r="FI224" s="21"/>
      <c r="FJ224" s="21"/>
      <c r="FK224" s="21"/>
      <c r="FL224" s="21"/>
      <c r="FM224" s="21"/>
      <c r="FN224" s="21"/>
      <c r="FO224" s="21"/>
      <c r="FP224" s="21"/>
      <c r="FQ224" s="21"/>
      <c r="FR224" s="21"/>
      <c r="FS224" s="21"/>
      <c r="FT224" s="21"/>
      <c r="FU224" s="21"/>
      <c r="FV224" s="21"/>
      <c r="FW224" s="21"/>
      <c r="FX224" s="21"/>
      <c r="FY224" s="21"/>
      <c r="FZ224" s="21"/>
      <c r="GA224" s="21"/>
      <c r="GB224" s="21"/>
      <c r="GC224" s="21"/>
      <c r="GD224" s="21"/>
      <c r="GE224" s="21"/>
      <c r="GF224" s="21"/>
      <c r="GG224" s="21"/>
      <c r="GH224" s="21"/>
      <c r="GI224" s="21"/>
      <c r="GJ224" s="21"/>
      <c r="GK224" s="21"/>
      <c r="GL224" s="21"/>
      <c r="GM224" s="21"/>
      <c r="GN224" s="21"/>
      <c r="GO224" s="21"/>
      <c r="GP224" s="21"/>
      <c r="GQ224" s="21"/>
      <c r="GR224" s="21"/>
      <c r="GS224" s="21"/>
      <c r="GT224" s="21"/>
      <c r="GU224" s="21"/>
      <c r="GV224" s="21"/>
      <c r="GW224" s="21"/>
      <c r="GX224" s="21"/>
      <c r="GY224" s="21"/>
      <c r="GZ224" s="21"/>
      <c r="HA224" s="21"/>
      <c r="HB224" s="21"/>
      <c r="HC224" s="21"/>
      <c r="HD224" s="21"/>
      <c r="HE224" s="21"/>
      <c r="HF224" s="21"/>
      <c r="HG224" s="21"/>
      <c r="HH224" s="21"/>
      <c r="HI224" s="21"/>
      <c r="HJ224" s="21"/>
      <c r="HK224" s="21"/>
      <c r="HL224" s="21"/>
      <c r="HM224" s="21"/>
      <c r="HN224" s="21"/>
      <c r="HO224" s="21"/>
      <c r="HP224" s="21"/>
      <c r="HQ224" s="21"/>
      <c r="HR224" s="21"/>
      <c r="HS224" s="21"/>
      <c r="HT224" s="21"/>
      <c r="HU224" s="21"/>
      <c r="HV224" s="21"/>
      <c r="HW224" s="21"/>
      <c r="HX224" s="21"/>
      <c r="HY224" s="21"/>
      <c r="HZ224" s="21"/>
      <c r="IA224" s="21"/>
      <c r="IB224" s="21"/>
      <c r="IC224" s="21"/>
      <c r="ID224" s="21"/>
      <c r="IE224" s="21"/>
      <c r="IF224" s="21"/>
      <c r="IG224" s="21"/>
      <c r="IH224" s="21"/>
      <c r="II224" s="21"/>
      <c r="IJ224" s="21"/>
      <c r="IK224" s="21"/>
      <c r="IL224" s="21"/>
      <c r="IM224" s="21"/>
      <c r="IN224" s="21"/>
      <c r="IO224" s="21"/>
      <c r="IP224" s="21"/>
      <c r="IQ224" s="21"/>
      <c r="IR224" s="21"/>
      <c r="IS224" s="21"/>
      <c r="IT224" s="21"/>
      <c r="IU224" s="21"/>
    </row>
    <row r="225" spans="1:255" x14ac:dyDescent="0.2">
      <c r="A225" s="86"/>
      <c r="B225" s="85"/>
      <c r="C225" s="85" t="s">
        <v>588</v>
      </c>
      <c r="D225" s="85"/>
      <c r="E225" s="85"/>
      <c r="F225" s="87" t="e">
        <f>SUM(DI219:DI224)</f>
        <v>#REF!</v>
      </c>
      <c r="G225" s="88" t="e">
        <f>S225</f>
        <v>#REF!</v>
      </c>
      <c r="O225" s="21"/>
      <c r="P225" s="21"/>
      <c r="Q225" s="21"/>
      <c r="R225" s="21"/>
      <c r="S225" s="21" t="e">
        <f>SUM(U219:U224)</f>
        <v>#REF!</v>
      </c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  <c r="IM225" s="21"/>
      <c r="IN225" s="21"/>
      <c r="IO225" s="21"/>
      <c r="IP225" s="21"/>
      <c r="IQ225" s="21"/>
      <c r="IR225" s="21"/>
      <c r="IS225" s="21"/>
      <c r="IT225" s="21"/>
      <c r="IU225" s="21"/>
    </row>
    <row r="226" spans="1:255" x14ac:dyDescent="0.2">
      <c r="A226" s="59"/>
      <c r="B226" s="58"/>
      <c r="C226" s="58"/>
      <c r="D226" s="58"/>
      <c r="E226" s="58"/>
      <c r="F226" s="58"/>
      <c r="G226" s="60"/>
    </row>
    <row r="227" spans="1:255" ht="24" x14ac:dyDescent="0.2">
      <c r="A227" s="91">
        <v>16</v>
      </c>
      <c r="B227" s="97" t="s">
        <v>215</v>
      </c>
      <c r="C227" s="92" t="s">
        <v>216</v>
      </c>
      <c r="D227" s="93" t="s">
        <v>58</v>
      </c>
      <c r="E227" s="94">
        <v>15.07</v>
      </c>
      <c r="F227" s="95" t="e">
        <f>IF(E227&gt;0,ROUND((Source!O71+Source!X71+Source!Y71)/E227,2),0)</f>
        <v>#REF!</v>
      </c>
      <c r="G227" s="96" t="e">
        <f>SUM(DS227:DS234)</f>
        <v>#REF!</v>
      </c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  <c r="DD227" s="21"/>
      <c r="DE227" s="21"/>
      <c r="DF227" s="21"/>
      <c r="DG227" s="21"/>
      <c r="DH227" s="21"/>
      <c r="DI227" s="21"/>
      <c r="DJ227" s="21"/>
      <c r="DK227" s="21"/>
      <c r="DL227" s="21"/>
      <c r="DM227" s="21"/>
      <c r="DN227" s="21"/>
      <c r="DO227" s="21"/>
      <c r="DP227" s="21"/>
      <c r="DQ227" s="21"/>
      <c r="DR227" s="21"/>
      <c r="DS227" s="21"/>
      <c r="DT227" s="21"/>
      <c r="DU227" s="21"/>
      <c r="DV227" s="21"/>
      <c r="DW227" s="21"/>
      <c r="DX227" s="21"/>
      <c r="DY227" s="21"/>
      <c r="DZ227" s="21"/>
      <c r="EA227" s="21"/>
      <c r="EB227" s="21"/>
      <c r="EC227" s="21"/>
      <c r="ED227" s="21"/>
      <c r="EE227" s="21"/>
      <c r="EF227" s="21"/>
      <c r="EG227" s="21"/>
      <c r="EH227" s="21"/>
      <c r="EI227" s="21"/>
      <c r="EJ227" s="21"/>
      <c r="EK227" s="21"/>
      <c r="EL227" s="21"/>
      <c r="EM227" s="21"/>
      <c r="EN227" s="21"/>
      <c r="EO227" s="21"/>
      <c r="EP227" s="21"/>
      <c r="EQ227" s="21"/>
      <c r="ER227" s="21"/>
      <c r="ES227" s="21"/>
      <c r="ET227" s="21"/>
      <c r="EU227" s="21"/>
      <c r="EV227" s="21"/>
      <c r="EW227" s="21"/>
      <c r="EX227" s="21"/>
      <c r="EY227" s="21"/>
      <c r="EZ227" s="21"/>
      <c r="FA227" s="21"/>
      <c r="FB227" s="21"/>
      <c r="FC227" s="21"/>
      <c r="FD227" s="21"/>
      <c r="FE227" s="21"/>
      <c r="FF227" s="21"/>
      <c r="FG227" s="21"/>
      <c r="FH227" s="21"/>
      <c r="FI227" s="21"/>
      <c r="FJ227" s="21"/>
      <c r="FK227" s="21"/>
      <c r="FL227" s="21"/>
      <c r="FM227" s="21"/>
      <c r="FN227" s="21"/>
      <c r="FO227" s="21"/>
      <c r="FP227" s="21"/>
      <c r="FQ227" s="21"/>
      <c r="FR227" s="21"/>
      <c r="FS227" s="21"/>
      <c r="FT227" s="21"/>
      <c r="FU227" s="21"/>
      <c r="FV227" s="21"/>
      <c r="FW227" s="21"/>
      <c r="FX227" s="21"/>
      <c r="FY227" s="21"/>
      <c r="FZ227" s="21"/>
      <c r="GA227" s="21"/>
      <c r="GB227" s="21"/>
      <c r="GC227" s="21"/>
      <c r="GD227" s="21"/>
      <c r="GE227" s="21"/>
      <c r="GF227" s="21"/>
      <c r="GG227" s="21"/>
      <c r="GH227" s="21"/>
      <c r="GI227" s="21"/>
      <c r="GJ227" s="21"/>
      <c r="GK227" s="21"/>
      <c r="GL227" s="21"/>
      <c r="GM227" s="21"/>
      <c r="GN227" s="21"/>
      <c r="GO227" s="21"/>
      <c r="GP227" s="21"/>
      <c r="GQ227" s="21"/>
      <c r="GR227" s="21"/>
      <c r="GS227" s="21"/>
      <c r="GT227" s="21"/>
      <c r="GU227" s="21"/>
      <c r="GV227" s="21"/>
      <c r="GW227" s="21"/>
      <c r="GX227" s="21"/>
      <c r="GY227" s="21"/>
      <c r="GZ227" s="21"/>
      <c r="HA227" s="21"/>
      <c r="HB227" s="21"/>
      <c r="HC227" s="21"/>
      <c r="HD227" s="21"/>
      <c r="HE227" s="21"/>
      <c r="HF227" s="21"/>
      <c r="HG227" s="21"/>
      <c r="HH227" s="21"/>
      <c r="HI227" s="21"/>
      <c r="HJ227" s="21"/>
      <c r="HK227" s="21"/>
      <c r="HL227" s="21"/>
      <c r="HM227" s="21"/>
      <c r="HN227" s="21"/>
      <c r="HO227" s="21"/>
      <c r="HP227" s="21"/>
      <c r="HQ227" s="21"/>
      <c r="HR227" s="21"/>
      <c r="HS227" s="21"/>
      <c r="HT227" s="21"/>
      <c r="HU227" s="21"/>
      <c r="HV227" s="21"/>
      <c r="HW227" s="21"/>
      <c r="HX227" s="21"/>
      <c r="HY227" s="21"/>
      <c r="HZ227" s="21"/>
      <c r="IA227" s="21"/>
      <c r="IB227" s="21"/>
      <c r="IC227" s="21"/>
      <c r="ID227" s="21"/>
      <c r="IE227" s="21"/>
      <c r="IF227" s="21"/>
      <c r="IG227" s="21"/>
      <c r="IH227" s="21"/>
      <c r="II227" s="21"/>
      <c r="IJ227" s="21"/>
      <c r="IK227" s="21"/>
      <c r="IL227" s="21"/>
      <c r="IM227" s="21"/>
      <c r="IN227" s="21"/>
      <c r="IO227" s="21"/>
      <c r="IP227" s="21"/>
      <c r="IQ227" s="21"/>
      <c r="IR227" s="21"/>
      <c r="IS227" s="21"/>
      <c r="IT227" s="21"/>
      <c r="IU227" s="21"/>
    </row>
    <row r="228" spans="1:255" x14ac:dyDescent="0.2">
      <c r="A228" s="55"/>
      <c r="B228" s="57" t="str">
        <f>IF(Source!I71=15.07," Расчет объема","")</f>
        <v xml:space="preserve"> Расчет объема</v>
      </c>
      <c r="C228" s="57" t="str">
        <f>IF(Source!I71=15.07,"   1,507*10 = 15,07","")</f>
        <v xml:space="preserve">   1,507*10 = 15,07</v>
      </c>
      <c r="D228" s="54"/>
      <c r="E228" s="54"/>
      <c r="F228" s="54"/>
      <c r="G228" s="56"/>
    </row>
    <row r="229" spans="1:255" x14ac:dyDescent="0.2">
      <c r="A229" s="61"/>
      <c r="B229" s="62"/>
      <c r="C229" s="62" t="s">
        <v>578</v>
      </c>
      <c r="D229" s="63"/>
      <c r="E229" s="64"/>
      <c r="F229" s="65" t="e">
        <f>DI229</f>
        <v>#REF!</v>
      </c>
      <c r="G229" s="66" t="e">
        <f>U229</f>
        <v>#REF!</v>
      </c>
      <c r="O229" s="21"/>
      <c r="P229" s="21"/>
      <c r="Q229" s="21"/>
      <c r="R229" s="21"/>
      <c r="S229" s="21"/>
      <c r="T229" s="21"/>
      <c r="U229" s="21" t="e">
        <f>Source!S71</f>
        <v>#REF!</v>
      </c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  <c r="DD229" s="21"/>
      <c r="DE229" s="21"/>
      <c r="DF229" s="21"/>
      <c r="DG229" s="21" t="e">
        <f>Source!S71</f>
        <v>#REF!</v>
      </c>
      <c r="DH229" s="21">
        <v>1</v>
      </c>
      <c r="DI229" s="21" t="e">
        <f>IF(E227&gt;0,ROUND(Source!S71/E227,2),0)</f>
        <v>#REF!</v>
      </c>
      <c r="DJ229" s="21"/>
      <c r="DK229" s="21"/>
      <c r="DL229" s="21"/>
      <c r="DM229" s="21"/>
      <c r="DN229" s="21"/>
      <c r="DO229" s="21"/>
      <c r="DP229" s="21"/>
      <c r="DQ229" s="21"/>
      <c r="DR229" s="21" t="e">
        <f>DI229</f>
        <v>#REF!</v>
      </c>
      <c r="DS229" s="21" t="e">
        <f>U229</f>
        <v>#REF!</v>
      </c>
      <c r="DT229" s="21"/>
      <c r="DU229" s="21"/>
      <c r="DV229" s="21"/>
      <c r="DW229" s="21"/>
      <c r="DX229" s="21"/>
      <c r="DY229" s="21"/>
      <c r="DZ229" s="21"/>
      <c r="EA229" s="21"/>
      <c r="EB229" s="21"/>
      <c r="EC229" s="21"/>
      <c r="ED229" s="21"/>
      <c r="EE229" s="21"/>
      <c r="EF229" s="21"/>
      <c r="EG229" s="21"/>
      <c r="EH229" s="21"/>
      <c r="EI229" s="21"/>
      <c r="EJ229" s="21"/>
      <c r="EK229" s="21"/>
      <c r="EL229" s="21"/>
      <c r="EM229" s="21"/>
      <c r="EN229" s="21"/>
      <c r="EO229" s="21"/>
      <c r="EP229" s="21"/>
      <c r="EQ229" s="21"/>
      <c r="ER229" s="21"/>
      <c r="ES229" s="21"/>
      <c r="ET229" s="21"/>
      <c r="EU229" s="21"/>
      <c r="EV229" s="21"/>
      <c r="EW229" s="21"/>
      <c r="EX229" s="21"/>
      <c r="EY229" s="21"/>
      <c r="EZ229" s="21"/>
      <c r="FA229" s="21"/>
      <c r="FB229" s="21"/>
      <c r="FC229" s="21"/>
      <c r="FD229" s="21"/>
      <c r="FE229" s="21"/>
      <c r="FF229" s="21"/>
      <c r="FG229" s="21"/>
      <c r="FH229" s="21"/>
      <c r="FI229" s="21"/>
      <c r="FJ229" s="21"/>
      <c r="FK229" s="21"/>
      <c r="FL229" s="21"/>
      <c r="FM229" s="21"/>
      <c r="FN229" s="21"/>
      <c r="FO229" s="21"/>
      <c r="FP229" s="21"/>
      <c r="FQ229" s="21"/>
      <c r="FR229" s="21"/>
      <c r="FS229" s="21"/>
      <c r="FT229" s="21"/>
      <c r="FU229" s="21"/>
      <c r="FV229" s="21"/>
      <c r="FW229" s="21"/>
      <c r="FX229" s="21"/>
      <c r="FY229" s="21"/>
      <c r="FZ229" s="21"/>
      <c r="GA229" s="21"/>
      <c r="GB229" s="21"/>
      <c r="GC229" s="21"/>
      <c r="GD229" s="21"/>
      <c r="GE229" s="21"/>
      <c r="GF229" s="21"/>
      <c r="GG229" s="21"/>
      <c r="GH229" s="21"/>
      <c r="GI229" s="21"/>
      <c r="GJ229" s="21"/>
      <c r="GK229" s="21"/>
      <c r="GL229" s="21"/>
      <c r="GM229" s="21"/>
      <c r="GN229" s="21"/>
      <c r="GO229" s="21"/>
      <c r="GP229" s="21"/>
      <c r="GQ229" s="21"/>
      <c r="GR229" s="21"/>
      <c r="GS229" s="21"/>
      <c r="GT229" s="21"/>
      <c r="GU229" s="21"/>
      <c r="GV229" s="21"/>
      <c r="GW229" s="21"/>
      <c r="GX229" s="21"/>
      <c r="GY229" s="21"/>
      <c r="GZ229" s="21"/>
      <c r="HA229" s="21"/>
      <c r="HB229" s="21"/>
      <c r="HC229" s="21"/>
      <c r="HD229" s="21"/>
      <c r="HE229" s="21"/>
      <c r="HF229" s="21"/>
      <c r="HG229" s="21"/>
      <c r="HH229" s="21"/>
      <c r="HI229" s="21"/>
      <c r="HJ229" s="21"/>
      <c r="HK229" s="21"/>
      <c r="HL229" s="21"/>
      <c r="HM229" s="21"/>
      <c r="HN229" s="21"/>
      <c r="HO229" s="21"/>
      <c r="HP229" s="21"/>
      <c r="HQ229" s="21"/>
      <c r="HR229" s="21"/>
      <c r="HS229" s="21"/>
      <c r="HT229" s="21"/>
      <c r="HU229" s="21"/>
      <c r="HV229" s="21"/>
      <c r="HW229" s="21"/>
      <c r="HX229" s="21"/>
      <c r="HY229" s="21"/>
      <c r="HZ229" s="21"/>
      <c r="IA229" s="21"/>
      <c r="IB229" s="21"/>
      <c r="IC229" s="21"/>
      <c r="ID229" s="21"/>
      <c r="IE229" s="21"/>
      <c r="IF229" s="21"/>
      <c r="IG229" s="21"/>
      <c r="IH229" s="21"/>
      <c r="II229" s="21"/>
      <c r="IJ229" s="21"/>
      <c r="IK229" s="21"/>
      <c r="IL229" s="21"/>
      <c r="IM229" s="21"/>
      <c r="IN229" s="21"/>
      <c r="IO229" s="21"/>
      <c r="IP229" s="21"/>
      <c r="IQ229" s="21"/>
      <c r="IR229" s="21"/>
      <c r="IS229" s="21"/>
      <c r="IT229" s="21"/>
      <c r="IU229" s="21"/>
    </row>
    <row r="230" spans="1:255" x14ac:dyDescent="0.2">
      <c r="A230" s="61"/>
      <c r="B230" s="62"/>
      <c r="C230" s="62" t="s">
        <v>579</v>
      </c>
      <c r="D230" s="63"/>
      <c r="E230" s="64"/>
      <c r="F230" s="65" t="e">
        <f>DI230</f>
        <v>#REF!</v>
      </c>
      <c r="G230" s="66" t="e">
        <f>U230</f>
        <v>#REF!</v>
      </c>
      <c r="O230" s="21"/>
      <c r="P230" s="21"/>
      <c r="Q230" s="21"/>
      <c r="R230" s="21"/>
      <c r="S230" s="21"/>
      <c r="T230" s="21"/>
      <c r="U230" s="21" t="e">
        <f>Source!Q71</f>
        <v>#REF!</v>
      </c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  <c r="DD230" s="21"/>
      <c r="DE230" s="21"/>
      <c r="DF230" s="21"/>
      <c r="DG230" s="21"/>
      <c r="DH230" s="21"/>
      <c r="DI230" s="21" t="e">
        <f>IF(E227&gt;0,ROUND(Source!Q71/E227,2),0)</f>
        <v>#REF!</v>
      </c>
      <c r="DJ230" s="21"/>
      <c r="DK230" s="21"/>
      <c r="DL230" s="21"/>
      <c r="DM230" s="21"/>
      <c r="DN230" s="21"/>
      <c r="DO230" s="21"/>
      <c r="DP230" s="21"/>
      <c r="DQ230" s="21"/>
      <c r="DR230" s="21" t="e">
        <f>DI230</f>
        <v>#REF!</v>
      </c>
      <c r="DS230" s="21" t="e">
        <f>U230</f>
        <v>#REF!</v>
      </c>
      <c r="DT230" s="21"/>
      <c r="DU230" s="21"/>
      <c r="DV230" s="21"/>
      <c r="DW230" s="21"/>
      <c r="DX230" s="21"/>
      <c r="DY230" s="21"/>
      <c r="DZ230" s="21"/>
      <c r="EA230" s="21"/>
      <c r="EB230" s="21"/>
      <c r="EC230" s="21"/>
      <c r="ED230" s="21"/>
      <c r="EE230" s="21"/>
      <c r="EF230" s="21"/>
      <c r="EG230" s="21"/>
      <c r="EH230" s="21"/>
      <c r="EI230" s="21"/>
      <c r="EJ230" s="21"/>
      <c r="EK230" s="21"/>
      <c r="EL230" s="21"/>
      <c r="EM230" s="21"/>
      <c r="EN230" s="21"/>
      <c r="EO230" s="21"/>
      <c r="EP230" s="21"/>
      <c r="EQ230" s="21"/>
      <c r="ER230" s="21"/>
      <c r="ES230" s="21"/>
      <c r="ET230" s="21"/>
      <c r="EU230" s="21"/>
      <c r="EV230" s="21"/>
      <c r="EW230" s="21"/>
      <c r="EX230" s="21"/>
      <c r="EY230" s="21"/>
      <c r="EZ230" s="21"/>
      <c r="FA230" s="21"/>
      <c r="FB230" s="21"/>
      <c r="FC230" s="21"/>
      <c r="FD230" s="21"/>
      <c r="FE230" s="21"/>
      <c r="FF230" s="21"/>
      <c r="FG230" s="21"/>
      <c r="FH230" s="21"/>
      <c r="FI230" s="21"/>
      <c r="FJ230" s="21"/>
      <c r="FK230" s="21"/>
      <c r="FL230" s="21"/>
      <c r="FM230" s="21"/>
      <c r="FN230" s="21"/>
      <c r="FO230" s="21"/>
      <c r="FP230" s="21"/>
      <c r="FQ230" s="21"/>
      <c r="FR230" s="21"/>
      <c r="FS230" s="21"/>
      <c r="FT230" s="21"/>
      <c r="FU230" s="21"/>
      <c r="FV230" s="21"/>
      <c r="FW230" s="21"/>
      <c r="FX230" s="21"/>
      <c r="FY230" s="21"/>
      <c r="FZ230" s="21"/>
      <c r="GA230" s="21"/>
      <c r="GB230" s="21"/>
      <c r="GC230" s="21"/>
      <c r="GD230" s="21"/>
      <c r="GE230" s="21"/>
      <c r="GF230" s="21"/>
      <c r="GG230" s="21"/>
      <c r="GH230" s="21"/>
      <c r="GI230" s="21"/>
      <c r="GJ230" s="21"/>
      <c r="GK230" s="21"/>
      <c r="GL230" s="21"/>
      <c r="GM230" s="21"/>
      <c r="GN230" s="21"/>
      <c r="GO230" s="21"/>
      <c r="GP230" s="21"/>
      <c r="GQ230" s="21"/>
      <c r="GR230" s="21"/>
      <c r="GS230" s="21"/>
      <c r="GT230" s="21"/>
      <c r="GU230" s="21"/>
      <c r="GV230" s="21"/>
      <c r="GW230" s="21"/>
      <c r="GX230" s="21"/>
      <c r="GY230" s="21"/>
      <c r="GZ230" s="21"/>
      <c r="HA230" s="21"/>
      <c r="HB230" s="21"/>
      <c r="HC230" s="21"/>
      <c r="HD230" s="21"/>
      <c r="HE230" s="21"/>
      <c r="HF230" s="21"/>
      <c r="HG230" s="21"/>
      <c r="HH230" s="21"/>
      <c r="HI230" s="21"/>
      <c r="HJ230" s="21"/>
      <c r="HK230" s="21"/>
      <c r="HL230" s="21"/>
      <c r="HM230" s="21"/>
      <c r="HN230" s="21"/>
      <c r="HO230" s="21"/>
      <c r="HP230" s="21"/>
      <c r="HQ230" s="21"/>
      <c r="HR230" s="21"/>
      <c r="HS230" s="21"/>
      <c r="HT230" s="21"/>
      <c r="HU230" s="21"/>
      <c r="HV230" s="21"/>
      <c r="HW230" s="21"/>
      <c r="HX230" s="21"/>
      <c r="HY230" s="21"/>
      <c r="HZ230" s="21"/>
      <c r="IA230" s="21"/>
      <c r="IB230" s="21"/>
      <c r="IC230" s="21"/>
      <c r="ID230" s="21"/>
      <c r="IE230" s="21"/>
      <c r="IF230" s="21"/>
      <c r="IG230" s="21"/>
      <c r="IH230" s="21"/>
      <c r="II230" s="21"/>
      <c r="IJ230" s="21"/>
      <c r="IK230" s="21"/>
      <c r="IL230" s="21"/>
      <c r="IM230" s="21"/>
      <c r="IN230" s="21"/>
      <c r="IO230" s="21"/>
      <c r="IP230" s="21"/>
      <c r="IQ230" s="21"/>
      <c r="IR230" s="21"/>
      <c r="IS230" s="21"/>
      <c r="IT230" s="21"/>
      <c r="IU230" s="21"/>
    </row>
    <row r="231" spans="1:255" x14ac:dyDescent="0.2">
      <c r="A231" s="61"/>
      <c r="B231" s="62"/>
      <c r="C231" s="62" t="s">
        <v>580</v>
      </c>
      <c r="D231" s="63"/>
      <c r="E231" s="64"/>
      <c r="F231" s="65" t="e">
        <f>IF(E227&gt;0,ROUND(Source!R71/E227,2),0)</f>
        <v>#REF!</v>
      </c>
      <c r="G231" s="66" t="e">
        <f>Source!R71</f>
        <v>#REF!</v>
      </c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21"/>
      <c r="CS231" s="21"/>
      <c r="CT231" s="21"/>
      <c r="CU231" s="21"/>
      <c r="CV231" s="21"/>
      <c r="CW231" s="21"/>
      <c r="CX231" s="21"/>
      <c r="CY231" s="21"/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DP231" s="21"/>
      <c r="DQ231" s="21"/>
      <c r="DR231" s="21"/>
      <c r="DS231" s="21"/>
      <c r="DT231" s="21"/>
      <c r="DU231" s="21"/>
      <c r="DV231" s="21"/>
      <c r="DW231" s="21"/>
      <c r="DX231" s="21"/>
      <c r="DY231" s="21"/>
      <c r="DZ231" s="21"/>
      <c r="EA231" s="21"/>
      <c r="EB231" s="21"/>
      <c r="EC231" s="21"/>
      <c r="ED231" s="21"/>
      <c r="EE231" s="21"/>
      <c r="EF231" s="21"/>
      <c r="EG231" s="21"/>
      <c r="EH231" s="21"/>
      <c r="EI231" s="21"/>
      <c r="EJ231" s="21"/>
      <c r="EK231" s="21"/>
      <c r="EL231" s="21"/>
      <c r="EM231" s="21"/>
      <c r="EN231" s="21"/>
      <c r="EO231" s="21"/>
      <c r="EP231" s="21"/>
      <c r="EQ231" s="21"/>
      <c r="ER231" s="21"/>
      <c r="ES231" s="21"/>
      <c r="ET231" s="21"/>
      <c r="EU231" s="21"/>
      <c r="EV231" s="21"/>
      <c r="EW231" s="21"/>
      <c r="EX231" s="21"/>
      <c r="EY231" s="21"/>
      <c r="EZ231" s="21"/>
      <c r="FA231" s="21"/>
      <c r="FB231" s="21"/>
      <c r="FC231" s="21"/>
      <c r="FD231" s="21"/>
      <c r="FE231" s="21"/>
      <c r="FF231" s="21"/>
      <c r="FG231" s="21"/>
      <c r="FH231" s="21"/>
      <c r="FI231" s="21"/>
      <c r="FJ231" s="21"/>
      <c r="FK231" s="21"/>
      <c r="FL231" s="21"/>
      <c r="FM231" s="21"/>
      <c r="FN231" s="21"/>
      <c r="FO231" s="21"/>
      <c r="FP231" s="21"/>
      <c r="FQ231" s="21"/>
      <c r="FR231" s="21"/>
      <c r="FS231" s="21"/>
      <c r="FT231" s="21"/>
      <c r="FU231" s="21"/>
      <c r="FV231" s="21"/>
      <c r="FW231" s="21"/>
      <c r="FX231" s="21"/>
      <c r="FY231" s="21"/>
      <c r="FZ231" s="21"/>
      <c r="GA231" s="21"/>
      <c r="GB231" s="21"/>
      <c r="GC231" s="21"/>
      <c r="GD231" s="21"/>
      <c r="GE231" s="21"/>
      <c r="GF231" s="21"/>
      <c r="GG231" s="21"/>
      <c r="GH231" s="21"/>
      <c r="GI231" s="21"/>
      <c r="GJ231" s="21"/>
      <c r="GK231" s="21"/>
      <c r="GL231" s="21"/>
      <c r="GM231" s="21"/>
      <c r="GN231" s="21"/>
      <c r="GO231" s="21"/>
      <c r="GP231" s="21"/>
      <c r="GQ231" s="21"/>
      <c r="GR231" s="21"/>
      <c r="GS231" s="21"/>
      <c r="GT231" s="21"/>
      <c r="GU231" s="21"/>
      <c r="GV231" s="21"/>
      <c r="GW231" s="21"/>
      <c r="GX231" s="21"/>
      <c r="GY231" s="21"/>
      <c r="GZ231" s="21"/>
      <c r="HA231" s="21"/>
      <c r="HB231" s="21"/>
      <c r="HC231" s="21"/>
      <c r="HD231" s="21"/>
      <c r="HE231" s="21"/>
      <c r="HF231" s="21"/>
      <c r="HG231" s="21"/>
      <c r="HH231" s="21"/>
      <c r="HI231" s="21"/>
      <c r="HJ231" s="21"/>
      <c r="HK231" s="21"/>
      <c r="HL231" s="21"/>
      <c r="HM231" s="21"/>
      <c r="HN231" s="21"/>
      <c r="HO231" s="21"/>
      <c r="HP231" s="21"/>
      <c r="HQ231" s="21"/>
      <c r="HR231" s="21"/>
      <c r="HS231" s="21"/>
      <c r="HT231" s="21"/>
      <c r="HU231" s="21"/>
      <c r="HV231" s="21"/>
      <c r="HW231" s="21"/>
      <c r="HX231" s="21"/>
      <c r="HY231" s="21"/>
      <c r="HZ231" s="21"/>
      <c r="IA231" s="21"/>
      <c r="IB231" s="21"/>
      <c r="IC231" s="21"/>
      <c r="ID231" s="21"/>
      <c r="IE231" s="21"/>
      <c r="IF231" s="21"/>
      <c r="IG231" s="21"/>
      <c r="IH231" s="21"/>
      <c r="II231" s="21"/>
      <c r="IJ231" s="21"/>
      <c r="IK231" s="21"/>
      <c r="IL231" s="21"/>
      <c r="IM231" s="21"/>
      <c r="IN231" s="21"/>
      <c r="IO231" s="21"/>
      <c r="IP231" s="21"/>
      <c r="IQ231" s="21"/>
      <c r="IR231" s="21"/>
      <c r="IS231" s="21"/>
      <c r="IT231" s="21"/>
      <c r="IU231" s="21"/>
    </row>
    <row r="232" spans="1:255" x14ac:dyDescent="0.2">
      <c r="A232" s="68"/>
      <c r="B232" s="69"/>
      <c r="C232" s="69" t="s">
        <v>582</v>
      </c>
      <c r="D232" s="70" t="s">
        <v>583</v>
      </c>
      <c r="E232" s="71">
        <v>92</v>
      </c>
      <c r="F232" s="72" t="e">
        <f>DI232</f>
        <v>#REF!</v>
      </c>
      <c r="G232" s="73" t="e">
        <f>U232</f>
        <v>#REF!</v>
      </c>
      <c r="O232" s="21"/>
      <c r="P232" s="21"/>
      <c r="Q232" s="21"/>
      <c r="R232" s="21"/>
      <c r="S232" s="21"/>
      <c r="T232" s="21"/>
      <c r="U232" s="21" t="e">
        <f>Source!X71</f>
        <v>#REF!</v>
      </c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21"/>
      <c r="CS232" s="21"/>
      <c r="CT232" s="21"/>
      <c r="CU232" s="21"/>
      <c r="CV232" s="21"/>
      <c r="CW232" s="21"/>
      <c r="CX232" s="21"/>
      <c r="CY232" s="21"/>
      <c r="CZ232" s="21"/>
      <c r="DA232" s="21"/>
      <c r="DB232" s="21"/>
      <c r="DC232" s="21"/>
      <c r="DD232" s="21"/>
      <c r="DE232" s="21"/>
      <c r="DF232" s="21"/>
      <c r="DG232" s="21"/>
      <c r="DH232" s="21"/>
      <c r="DI232" s="21" t="e">
        <f>IF(E227&gt;0,ROUND(Source!X71/E227,2),0)</f>
        <v>#REF!</v>
      </c>
      <c r="DJ232" s="21"/>
      <c r="DK232" s="21"/>
      <c r="DL232" s="21"/>
      <c r="DM232" s="21"/>
      <c r="DN232" s="21"/>
      <c r="DO232" s="21"/>
      <c r="DP232" s="21"/>
      <c r="DQ232" s="21"/>
      <c r="DR232" s="21" t="e">
        <f>DI232</f>
        <v>#REF!</v>
      </c>
      <c r="DS232" s="21" t="e">
        <f>U232</f>
        <v>#REF!</v>
      </c>
      <c r="DT232" s="21"/>
      <c r="DU232" s="21"/>
      <c r="DV232" s="21"/>
      <c r="DW232" s="21"/>
      <c r="DX232" s="21"/>
      <c r="DY232" s="21"/>
      <c r="DZ232" s="21"/>
      <c r="EA232" s="21"/>
      <c r="EB232" s="21"/>
      <c r="EC232" s="21"/>
      <c r="ED232" s="21"/>
      <c r="EE232" s="21"/>
      <c r="EF232" s="21"/>
      <c r="EG232" s="21"/>
      <c r="EH232" s="21"/>
      <c r="EI232" s="21"/>
      <c r="EJ232" s="21"/>
      <c r="EK232" s="21"/>
      <c r="EL232" s="21"/>
      <c r="EM232" s="21"/>
      <c r="EN232" s="21"/>
      <c r="EO232" s="21"/>
      <c r="EP232" s="21"/>
      <c r="EQ232" s="21"/>
      <c r="ER232" s="21"/>
      <c r="ES232" s="21"/>
      <c r="ET232" s="21"/>
      <c r="EU232" s="21"/>
      <c r="EV232" s="21"/>
      <c r="EW232" s="21"/>
      <c r="EX232" s="21"/>
      <c r="EY232" s="21"/>
      <c r="EZ232" s="21"/>
      <c r="FA232" s="21"/>
      <c r="FB232" s="21"/>
      <c r="FC232" s="21"/>
      <c r="FD232" s="21"/>
      <c r="FE232" s="21"/>
      <c r="FF232" s="21"/>
      <c r="FG232" s="21"/>
      <c r="FH232" s="21"/>
      <c r="FI232" s="21"/>
      <c r="FJ232" s="21"/>
      <c r="FK232" s="21"/>
      <c r="FL232" s="21"/>
      <c r="FM232" s="21"/>
      <c r="FN232" s="21"/>
      <c r="FO232" s="21"/>
      <c r="FP232" s="21"/>
      <c r="FQ232" s="21"/>
      <c r="FR232" s="21"/>
      <c r="FS232" s="21"/>
      <c r="FT232" s="21"/>
      <c r="FU232" s="21"/>
      <c r="FV232" s="21"/>
      <c r="FW232" s="21"/>
      <c r="FX232" s="21"/>
      <c r="FY232" s="21"/>
      <c r="FZ232" s="21"/>
      <c r="GA232" s="21"/>
      <c r="GB232" s="21"/>
      <c r="GC232" s="21"/>
      <c r="GD232" s="21"/>
      <c r="GE232" s="21"/>
      <c r="GF232" s="21"/>
      <c r="GG232" s="21"/>
      <c r="GH232" s="21"/>
      <c r="GI232" s="21"/>
      <c r="GJ232" s="21"/>
      <c r="GK232" s="21"/>
      <c r="GL232" s="21"/>
      <c r="GM232" s="21"/>
      <c r="GN232" s="21"/>
      <c r="GO232" s="21"/>
      <c r="GP232" s="21"/>
      <c r="GQ232" s="21"/>
      <c r="GR232" s="21"/>
      <c r="GS232" s="21"/>
      <c r="GT232" s="21"/>
      <c r="GU232" s="21"/>
      <c r="GV232" s="21"/>
      <c r="GW232" s="21"/>
      <c r="GX232" s="21"/>
      <c r="GY232" s="21"/>
      <c r="GZ232" s="21"/>
      <c r="HA232" s="21"/>
      <c r="HB232" s="21"/>
      <c r="HC232" s="21"/>
      <c r="HD232" s="21"/>
      <c r="HE232" s="21"/>
      <c r="HF232" s="21"/>
      <c r="HG232" s="21"/>
      <c r="HH232" s="21"/>
      <c r="HI232" s="21"/>
      <c r="HJ232" s="21"/>
      <c r="HK232" s="21"/>
      <c r="HL232" s="21"/>
      <c r="HM232" s="21"/>
      <c r="HN232" s="21"/>
      <c r="HO232" s="21"/>
      <c r="HP232" s="21"/>
      <c r="HQ232" s="21"/>
      <c r="HR232" s="21"/>
      <c r="HS232" s="21"/>
      <c r="HT232" s="21"/>
      <c r="HU232" s="21"/>
      <c r="HV232" s="21"/>
      <c r="HW232" s="21"/>
      <c r="HX232" s="21"/>
      <c r="HY232" s="21"/>
      <c r="HZ232" s="21"/>
      <c r="IA232" s="21"/>
      <c r="IB232" s="21"/>
      <c r="IC232" s="21"/>
      <c r="ID232" s="21"/>
      <c r="IE232" s="21"/>
      <c r="IF232" s="21"/>
      <c r="IG232" s="21"/>
      <c r="IH232" s="21"/>
      <c r="II232" s="21"/>
      <c r="IJ232" s="21"/>
      <c r="IK232" s="21"/>
      <c r="IL232" s="21"/>
      <c r="IM232" s="21"/>
      <c r="IN232" s="21"/>
      <c r="IO232" s="21"/>
      <c r="IP232" s="21"/>
      <c r="IQ232" s="21"/>
      <c r="IR232" s="21"/>
      <c r="IS232" s="21"/>
      <c r="IT232" s="21"/>
      <c r="IU232" s="21"/>
    </row>
    <row r="233" spans="1:255" x14ac:dyDescent="0.2">
      <c r="A233" s="68"/>
      <c r="B233" s="69"/>
      <c r="C233" s="69" t="s">
        <v>584</v>
      </c>
      <c r="D233" s="70" t="s">
        <v>583</v>
      </c>
      <c r="E233" s="71">
        <v>46</v>
      </c>
      <c r="F233" s="72" t="e">
        <f>DI233</f>
        <v>#REF!</v>
      </c>
      <c r="G233" s="73" t="e">
        <f>U233</f>
        <v>#REF!</v>
      </c>
      <c r="O233" s="21"/>
      <c r="P233" s="21"/>
      <c r="Q233" s="21"/>
      <c r="R233" s="21"/>
      <c r="S233" s="21"/>
      <c r="T233" s="21"/>
      <c r="U233" s="21" t="e">
        <f>Source!Y71</f>
        <v>#REF!</v>
      </c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21"/>
      <c r="CS233" s="21"/>
      <c r="CT233" s="21"/>
      <c r="CU233" s="21"/>
      <c r="CV233" s="21"/>
      <c r="CW233" s="21"/>
      <c r="CX233" s="21"/>
      <c r="CY233" s="21"/>
      <c r="CZ233" s="21"/>
      <c r="DA233" s="21"/>
      <c r="DB233" s="21"/>
      <c r="DC233" s="21"/>
      <c r="DD233" s="21"/>
      <c r="DE233" s="21"/>
      <c r="DF233" s="21"/>
      <c r="DG233" s="21"/>
      <c r="DH233" s="21"/>
      <c r="DI233" s="21" t="e">
        <f>IF(E227&gt;0,ROUND(Source!Y71/E227,2),0)</f>
        <v>#REF!</v>
      </c>
      <c r="DJ233" s="21"/>
      <c r="DK233" s="21"/>
      <c r="DL233" s="21"/>
      <c r="DM233" s="21"/>
      <c r="DN233" s="21"/>
      <c r="DO233" s="21"/>
      <c r="DP233" s="21"/>
      <c r="DQ233" s="21"/>
      <c r="DR233" s="21" t="e">
        <f>DI233</f>
        <v>#REF!</v>
      </c>
      <c r="DS233" s="21" t="e">
        <f>U233</f>
        <v>#REF!</v>
      </c>
      <c r="DT233" s="21"/>
      <c r="DU233" s="21"/>
      <c r="DV233" s="21"/>
      <c r="DW233" s="21"/>
      <c r="DX233" s="21"/>
      <c r="DY233" s="21"/>
      <c r="DZ233" s="21"/>
      <c r="EA233" s="21"/>
      <c r="EB233" s="21"/>
      <c r="EC233" s="21"/>
      <c r="ED233" s="21"/>
      <c r="EE233" s="21"/>
      <c r="EF233" s="21"/>
      <c r="EG233" s="21"/>
      <c r="EH233" s="21"/>
      <c r="EI233" s="21"/>
      <c r="EJ233" s="21"/>
      <c r="EK233" s="21"/>
      <c r="EL233" s="21"/>
      <c r="EM233" s="21"/>
      <c r="EN233" s="21"/>
      <c r="EO233" s="21"/>
      <c r="EP233" s="21"/>
      <c r="EQ233" s="21"/>
      <c r="ER233" s="21"/>
      <c r="ES233" s="21"/>
      <c r="ET233" s="21"/>
      <c r="EU233" s="21"/>
      <c r="EV233" s="21"/>
      <c r="EW233" s="21"/>
      <c r="EX233" s="21"/>
      <c r="EY233" s="21"/>
      <c r="EZ233" s="21"/>
      <c r="FA233" s="21"/>
      <c r="FB233" s="21"/>
      <c r="FC233" s="21"/>
      <c r="FD233" s="21"/>
      <c r="FE233" s="21"/>
      <c r="FF233" s="21"/>
      <c r="FG233" s="21"/>
      <c r="FH233" s="21"/>
      <c r="FI233" s="21"/>
      <c r="FJ233" s="21"/>
      <c r="FK233" s="21"/>
      <c r="FL233" s="21"/>
      <c r="FM233" s="21"/>
      <c r="FN233" s="21"/>
      <c r="FO233" s="21"/>
      <c r="FP233" s="21"/>
      <c r="FQ233" s="21"/>
      <c r="FR233" s="21"/>
      <c r="FS233" s="21"/>
      <c r="FT233" s="21"/>
      <c r="FU233" s="21"/>
      <c r="FV233" s="21"/>
      <c r="FW233" s="21"/>
      <c r="FX233" s="21"/>
      <c r="FY233" s="21"/>
      <c r="FZ233" s="21"/>
      <c r="GA233" s="21"/>
      <c r="GB233" s="21"/>
      <c r="GC233" s="21"/>
      <c r="GD233" s="21"/>
      <c r="GE233" s="21"/>
      <c r="GF233" s="21"/>
      <c r="GG233" s="21"/>
      <c r="GH233" s="21"/>
      <c r="GI233" s="21"/>
      <c r="GJ233" s="21"/>
      <c r="GK233" s="21"/>
      <c r="GL233" s="21"/>
      <c r="GM233" s="21"/>
      <c r="GN233" s="21"/>
      <c r="GO233" s="21"/>
      <c r="GP233" s="21"/>
      <c r="GQ233" s="21"/>
      <c r="GR233" s="21"/>
      <c r="GS233" s="21"/>
      <c r="GT233" s="21"/>
      <c r="GU233" s="21"/>
      <c r="GV233" s="21"/>
      <c r="GW233" s="21"/>
      <c r="GX233" s="21"/>
      <c r="GY233" s="21"/>
      <c r="GZ233" s="21"/>
      <c r="HA233" s="21"/>
      <c r="HB233" s="21"/>
      <c r="HC233" s="21"/>
      <c r="HD233" s="21"/>
      <c r="HE233" s="21"/>
      <c r="HF233" s="21"/>
      <c r="HG233" s="21"/>
      <c r="HH233" s="21"/>
      <c r="HI233" s="21"/>
      <c r="HJ233" s="21"/>
      <c r="HK233" s="21"/>
      <c r="HL233" s="21"/>
      <c r="HM233" s="21"/>
      <c r="HN233" s="21"/>
      <c r="HO233" s="21"/>
      <c r="HP233" s="21"/>
      <c r="HQ233" s="21"/>
      <c r="HR233" s="21"/>
      <c r="HS233" s="21"/>
      <c r="HT233" s="21"/>
      <c r="HU233" s="21"/>
      <c r="HV233" s="21"/>
      <c r="HW233" s="21"/>
      <c r="HX233" s="21"/>
      <c r="HY233" s="21"/>
      <c r="HZ233" s="21"/>
      <c r="IA233" s="21"/>
      <c r="IB233" s="21"/>
      <c r="IC233" s="21"/>
      <c r="ID233" s="21"/>
      <c r="IE233" s="21"/>
      <c r="IF233" s="21"/>
      <c r="IG233" s="21"/>
      <c r="IH233" s="21"/>
      <c r="II233" s="21"/>
      <c r="IJ233" s="21"/>
      <c r="IK233" s="21"/>
      <c r="IL233" s="21"/>
      <c r="IM233" s="21"/>
      <c r="IN233" s="21"/>
      <c r="IO233" s="21"/>
      <c r="IP233" s="21"/>
      <c r="IQ233" s="21"/>
      <c r="IR233" s="21"/>
      <c r="IS233" s="21"/>
      <c r="IT233" s="21"/>
      <c r="IU233" s="21"/>
    </row>
    <row r="234" spans="1:255" ht="13.5" thickBot="1" x14ac:dyDescent="0.25">
      <c r="A234" s="108"/>
      <c r="B234" s="109"/>
      <c r="C234" s="109" t="s">
        <v>585</v>
      </c>
      <c r="D234" s="110" t="s">
        <v>586</v>
      </c>
      <c r="E234" s="111">
        <v>12.53</v>
      </c>
      <c r="F234" s="112"/>
      <c r="G234" s="180">
        <f>Source!U71</f>
        <v>188.8271</v>
      </c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DP234" s="21"/>
      <c r="DQ234" s="21"/>
      <c r="DR234" s="21"/>
      <c r="DS234" s="21"/>
      <c r="DT234" s="21"/>
      <c r="DU234" s="21"/>
      <c r="DV234" s="21"/>
      <c r="DW234" s="21"/>
      <c r="DX234" s="21"/>
      <c r="DY234" s="21"/>
      <c r="DZ234" s="21"/>
      <c r="EA234" s="21"/>
      <c r="EB234" s="21"/>
      <c r="EC234" s="21"/>
      <c r="ED234" s="21"/>
      <c r="EE234" s="21"/>
      <c r="EF234" s="21"/>
      <c r="EG234" s="21"/>
      <c r="EH234" s="21"/>
      <c r="EI234" s="21"/>
      <c r="EJ234" s="21"/>
      <c r="EK234" s="21"/>
      <c r="EL234" s="21"/>
      <c r="EM234" s="21"/>
      <c r="EN234" s="21"/>
      <c r="EO234" s="21"/>
      <c r="EP234" s="21"/>
      <c r="EQ234" s="21"/>
      <c r="ER234" s="21"/>
      <c r="ES234" s="21"/>
      <c r="ET234" s="21"/>
      <c r="EU234" s="21"/>
      <c r="EV234" s="21"/>
      <c r="EW234" s="21"/>
      <c r="EX234" s="21"/>
      <c r="EY234" s="21"/>
      <c r="EZ234" s="21"/>
      <c r="FA234" s="21"/>
      <c r="FB234" s="21"/>
      <c r="FC234" s="21"/>
      <c r="FD234" s="21"/>
      <c r="FE234" s="21"/>
      <c r="FF234" s="21"/>
      <c r="FG234" s="21"/>
      <c r="FH234" s="21"/>
      <c r="FI234" s="21"/>
      <c r="FJ234" s="21"/>
      <c r="FK234" s="21"/>
      <c r="FL234" s="21"/>
      <c r="FM234" s="21"/>
      <c r="FN234" s="21"/>
      <c r="FO234" s="21"/>
      <c r="FP234" s="21"/>
      <c r="FQ234" s="21"/>
      <c r="FR234" s="21"/>
      <c r="FS234" s="21"/>
      <c r="FT234" s="21"/>
      <c r="FU234" s="21"/>
      <c r="FV234" s="21"/>
      <c r="FW234" s="21"/>
      <c r="FX234" s="21"/>
      <c r="FY234" s="21"/>
      <c r="FZ234" s="21"/>
      <c r="GA234" s="21"/>
      <c r="GB234" s="21"/>
      <c r="GC234" s="21"/>
      <c r="GD234" s="21"/>
      <c r="GE234" s="21"/>
      <c r="GF234" s="21"/>
      <c r="GG234" s="21"/>
      <c r="GH234" s="21"/>
      <c r="GI234" s="21"/>
      <c r="GJ234" s="21"/>
      <c r="GK234" s="21"/>
      <c r="GL234" s="21"/>
      <c r="GM234" s="21"/>
      <c r="GN234" s="21"/>
      <c r="GO234" s="21"/>
      <c r="GP234" s="21"/>
      <c r="GQ234" s="21"/>
      <c r="GR234" s="21"/>
      <c r="GS234" s="21"/>
      <c r="GT234" s="21"/>
      <c r="GU234" s="21"/>
      <c r="GV234" s="21"/>
      <c r="GW234" s="21"/>
      <c r="GX234" s="21"/>
      <c r="GY234" s="21"/>
      <c r="GZ234" s="21"/>
      <c r="HA234" s="21"/>
      <c r="HB234" s="21"/>
      <c r="HC234" s="21"/>
      <c r="HD234" s="21"/>
      <c r="HE234" s="21"/>
      <c r="HF234" s="21"/>
      <c r="HG234" s="21"/>
      <c r="HH234" s="21"/>
      <c r="HI234" s="21"/>
      <c r="HJ234" s="21"/>
      <c r="HK234" s="21"/>
      <c r="HL234" s="21"/>
      <c r="HM234" s="21"/>
      <c r="HN234" s="21"/>
      <c r="HO234" s="21"/>
      <c r="HP234" s="21"/>
      <c r="HQ234" s="21"/>
      <c r="HR234" s="21"/>
      <c r="HS234" s="21"/>
      <c r="HT234" s="21"/>
      <c r="HU234" s="21"/>
      <c r="HV234" s="21"/>
      <c r="HW234" s="21"/>
      <c r="HX234" s="21"/>
      <c r="HY234" s="21"/>
      <c r="HZ234" s="21"/>
      <c r="IA234" s="21"/>
      <c r="IB234" s="21"/>
      <c r="IC234" s="21"/>
      <c r="ID234" s="21"/>
      <c r="IE234" s="21"/>
      <c r="IF234" s="21"/>
      <c r="IG234" s="21"/>
      <c r="IH234" s="21"/>
      <c r="II234" s="21"/>
      <c r="IJ234" s="21"/>
      <c r="IK234" s="21"/>
      <c r="IL234" s="21"/>
      <c r="IM234" s="21"/>
      <c r="IN234" s="21"/>
      <c r="IO234" s="21"/>
      <c r="IP234" s="21"/>
      <c r="IQ234" s="21"/>
      <c r="IR234" s="21"/>
      <c r="IS234" s="21"/>
      <c r="IT234" s="21"/>
      <c r="IU234" s="21"/>
    </row>
    <row r="235" spans="1:255" x14ac:dyDescent="0.2">
      <c r="A235" s="86"/>
      <c r="B235" s="85"/>
      <c r="C235" s="85" t="s">
        <v>588</v>
      </c>
      <c r="D235" s="85"/>
      <c r="E235" s="85"/>
      <c r="F235" s="87" t="e">
        <f>SUM(DI227:DI234)</f>
        <v>#REF!</v>
      </c>
      <c r="G235" s="88" t="e">
        <f>S235</f>
        <v>#REF!</v>
      </c>
      <c r="O235" s="21"/>
      <c r="P235" s="21"/>
      <c r="Q235" s="21"/>
      <c r="R235" s="21"/>
      <c r="S235" s="21" t="e">
        <f>SUM(U227:U234)</f>
        <v>#REF!</v>
      </c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21"/>
      <c r="CS235" s="21"/>
      <c r="CT235" s="21"/>
      <c r="CU235" s="21"/>
      <c r="CV235" s="21"/>
      <c r="CW235" s="21"/>
      <c r="CX235" s="21"/>
      <c r="CY235" s="21"/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DP235" s="21"/>
      <c r="DQ235" s="21"/>
      <c r="DR235" s="21"/>
      <c r="DS235" s="21"/>
      <c r="DT235" s="21"/>
      <c r="DU235" s="21"/>
      <c r="DV235" s="21"/>
      <c r="DW235" s="21"/>
      <c r="DX235" s="21"/>
      <c r="DY235" s="21"/>
      <c r="DZ235" s="21"/>
      <c r="EA235" s="21"/>
      <c r="EB235" s="21"/>
      <c r="EC235" s="21"/>
      <c r="ED235" s="21"/>
      <c r="EE235" s="21"/>
      <c r="EF235" s="21"/>
      <c r="EG235" s="21"/>
      <c r="EH235" s="21"/>
      <c r="EI235" s="21"/>
      <c r="EJ235" s="21"/>
      <c r="EK235" s="21"/>
      <c r="EL235" s="21"/>
      <c r="EM235" s="21"/>
      <c r="EN235" s="21"/>
      <c r="EO235" s="21"/>
      <c r="EP235" s="21"/>
      <c r="EQ235" s="21"/>
      <c r="ER235" s="21"/>
      <c r="ES235" s="21"/>
      <c r="ET235" s="21"/>
      <c r="EU235" s="21"/>
      <c r="EV235" s="21"/>
      <c r="EW235" s="21"/>
      <c r="EX235" s="21"/>
      <c r="EY235" s="21"/>
      <c r="EZ235" s="21"/>
      <c r="FA235" s="21"/>
      <c r="FB235" s="21"/>
      <c r="FC235" s="21"/>
      <c r="FD235" s="21"/>
      <c r="FE235" s="21"/>
      <c r="FF235" s="21"/>
      <c r="FG235" s="21"/>
      <c r="FH235" s="21"/>
      <c r="FI235" s="21"/>
      <c r="FJ235" s="21"/>
      <c r="FK235" s="21"/>
      <c r="FL235" s="21"/>
      <c r="FM235" s="21"/>
      <c r="FN235" s="21"/>
      <c r="FO235" s="21"/>
      <c r="FP235" s="21"/>
      <c r="FQ235" s="21"/>
      <c r="FR235" s="21"/>
      <c r="FS235" s="21"/>
      <c r="FT235" s="21"/>
      <c r="FU235" s="21"/>
      <c r="FV235" s="21"/>
      <c r="FW235" s="21"/>
      <c r="FX235" s="21"/>
      <c r="FY235" s="21"/>
      <c r="FZ235" s="21"/>
      <c r="GA235" s="21"/>
      <c r="GB235" s="21"/>
      <c r="GC235" s="21"/>
      <c r="GD235" s="21"/>
      <c r="GE235" s="21"/>
      <c r="GF235" s="21"/>
      <c r="GG235" s="21"/>
      <c r="GH235" s="21"/>
      <c r="GI235" s="21"/>
      <c r="GJ235" s="21"/>
      <c r="GK235" s="21"/>
      <c r="GL235" s="21"/>
      <c r="GM235" s="21"/>
      <c r="GN235" s="21"/>
      <c r="GO235" s="21"/>
      <c r="GP235" s="21"/>
      <c r="GQ235" s="21"/>
      <c r="GR235" s="21"/>
      <c r="GS235" s="21"/>
      <c r="GT235" s="21"/>
      <c r="GU235" s="21"/>
      <c r="GV235" s="21"/>
      <c r="GW235" s="21"/>
      <c r="GX235" s="21"/>
      <c r="GY235" s="21"/>
      <c r="GZ235" s="21"/>
      <c r="HA235" s="21"/>
      <c r="HB235" s="21"/>
      <c r="HC235" s="21"/>
      <c r="HD235" s="21"/>
      <c r="HE235" s="21"/>
      <c r="HF235" s="21"/>
      <c r="HG235" s="21"/>
      <c r="HH235" s="21"/>
      <c r="HI235" s="21"/>
      <c r="HJ235" s="21"/>
      <c r="HK235" s="21"/>
      <c r="HL235" s="21"/>
      <c r="HM235" s="21"/>
      <c r="HN235" s="21"/>
      <c r="HO235" s="21"/>
      <c r="HP235" s="21"/>
      <c r="HQ235" s="21"/>
      <c r="HR235" s="21"/>
      <c r="HS235" s="21"/>
      <c r="HT235" s="21"/>
      <c r="HU235" s="21"/>
      <c r="HV235" s="21"/>
      <c r="HW235" s="21"/>
      <c r="HX235" s="21"/>
      <c r="HY235" s="21"/>
      <c r="HZ235" s="21"/>
      <c r="IA235" s="21"/>
      <c r="IB235" s="21"/>
      <c r="IC235" s="21"/>
      <c r="ID235" s="21"/>
      <c r="IE235" s="21"/>
      <c r="IF235" s="21"/>
      <c r="IG235" s="21"/>
      <c r="IH235" s="21"/>
      <c r="II235" s="21"/>
      <c r="IJ235" s="21"/>
      <c r="IK235" s="21"/>
      <c r="IL235" s="21"/>
      <c r="IM235" s="21"/>
      <c r="IN235" s="21"/>
      <c r="IO235" s="21"/>
      <c r="IP235" s="21"/>
      <c r="IQ235" s="21"/>
      <c r="IR235" s="21"/>
      <c r="IS235" s="21"/>
      <c r="IT235" s="21"/>
      <c r="IU235" s="21"/>
    </row>
    <row r="236" spans="1:255" ht="13.5" thickBot="1" x14ac:dyDescent="0.25">
      <c r="A236" s="59"/>
      <c r="B236" s="58"/>
      <c r="C236" s="58"/>
      <c r="D236" s="58"/>
      <c r="E236" s="58"/>
      <c r="F236" s="58"/>
      <c r="G236" s="60"/>
    </row>
    <row r="237" spans="1:255" x14ac:dyDescent="0.2">
      <c r="A237" s="128"/>
      <c r="B237" s="128"/>
      <c r="C237" s="129" t="s">
        <v>595</v>
      </c>
      <c r="D237" s="129"/>
      <c r="E237" s="129"/>
      <c r="F237" s="129"/>
      <c r="G237" s="130" t="e">
        <f>Source!AR73</f>
        <v>#REF!</v>
      </c>
      <c r="P237" s="21"/>
      <c r="Q237" s="21" t="e">
        <f>SUM(S47:S236)</f>
        <v>#REF!</v>
      </c>
      <c r="R237" s="21"/>
      <c r="S237" s="21"/>
      <c r="T237" s="21"/>
      <c r="U237" s="21"/>
      <c r="V237" s="21"/>
      <c r="W237" s="21"/>
    </row>
    <row r="239" spans="1:255" x14ac:dyDescent="0.2">
      <c r="C239" s="132" t="s">
        <v>598</v>
      </c>
      <c r="D239" s="132"/>
      <c r="E239" s="132"/>
      <c r="F239" s="132"/>
      <c r="G239" s="132"/>
    </row>
    <row r="240" spans="1:255" x14ac:dyDescent="0.2">
      <c r="C240" s="11" t="s">
        <v>219</v>
      </c>
      <c r="D240" s="11"/>
      <c r="E240" s="11"/>
      <c r="F240" s="11"/>
      <c r="G240" s="133" t="e">
        <f>Source!S73+Source!Q73+Source!AW73+SUM(DB47:DB236)+SUM(DD47:DD236)</f>
        <v>#REF!</v>
      </c>
    </row>
    <row r="241" spans="3:7" x14ac:dyDescent="0.2">
      <c r="C241" s="134" t="s">
        <v>598</v>
      </c>
      <c r="D241" s="132"/>
      <c r="E241" s="132"/>
      <c r="F241" s="132"/>
      <c r="G241" s="132"/>
    </row>
    <row r="242" spans="3:7" x14ac:dyDescent="0.2">
      <c r="C242" s="136" t="s">
        <v>599</v>
      </c>
      <c r="D242" s="135"/>
      <c r="E242" s="135"/>
      <c r="F242" s="135"/>
      <c r="G242" s="137" t="e">
        <f>Source!S73</f>
        <v>#REF!</v>
      </c>
    </row>
    <row r="243" spans="3:7" x14ac:dyDescent="0.2">
      <c r="C243" s="138" t="s">
        <v>600</v>
      </c>
      <c r="D243" s="132"/>
      <c r="E243" s="132"/>
      <c r="F243" s="132"/>
      <c r="G243" s="132"/>
    </row>
    <row r="244" spans="3:7" hidden="1" x14ac:dyDescent="0.2">
      <c r="C244" s="139" t="s">
        <v>601</v>
      </c>
      <c r="D244" s="135"/>
      <c r="E244" s="135"/>
      <c r="F244" s="135"/>
      <c r="G244" s="137">
        <f>SUMIF(DH47:DH236,1001,DG47:DG236)</f>
        <v>0</v>
      </c>
    </row>
    <row r="245" spans="3:7" hidden="1" x14ac:dyDescent="0.2">
      <c r="C245" s="139" t="s">
        <v>602</v>
      </c>
      <c r="D245" s="135"/>
      <c r="E245" s="135"/>
      <c r="F245" s="135"/>
      <c r="G245" s="137">
        <f>SUMIF(DH47:DH236,1002,DG47:DG236)</f>
        <v>0</v>
      </c>
    </row>
    <row r="246" spans="3:7" hidden="1" x14ac:dyDescent="0.2">
      <c r="C246" s="139" t="s">
        <v>603</v>
      </c>
      <c r="D246" s="135"/>
      <c r="E246" s="135"/>
      <c r="F246" s="135"/>
      <c r="G246" s="137">
        <f>SUMIF(DH47:DH236,1003,DG47:DG236)</f>
        <v>0</v>
      </c>
    </row>
    <row r="247" spans="3:7" hidden="1" x14ac:dyDescent="0.2">
      <c r="C247" s="139" t="s">
        <v>604</v>
      </c>
      <c r="D247" s="135"/>
      <c r="E247" s="135"/>
      <c r="F247" s="135"/>
      <c r="G247" s="137">
        <f>SUMIF(DH47:DH236,1004,DG47:DG236)</f>
        <v>0</v>
      </c>
    </row>
    <row r="248" spans="3:7" hidden="1" x14ac:dyDescent="0.2">
      <c r="C248" s="139" t="s">
        <v>605</v>
      </c>
      <c r="D248" s="135"/>
      <c r="E248" s="135"/>
      <c r="F248" s="135"/>
      <c r="G248" s="137">
        <f>SUMIF(DH47:DH236,1005,DG47:DG236)</f>
        <v>0</v>
      </c>
    </row>
    <row r="249" spans="3:7" hidden="1" x14ac:dyDescent="0.2">
      <c r="C249" s="139" t="s">
        <v>606</v>
      </c>
      <c r="D249" s="135"/>
      <c r="E249" s="135"/>
      <c r="F249" s="135"/>
      <c r="G249" s="137">
        <f>SUMIF(DH47:DH236,1006,DG47:DG236)</f>
        <v>0</v>
      </c>
    </row>
    <row r="250" spans="3:7" hidden="1" x14ac:dyDescent="0.2">
      <c r="C250" s="139" t="s">
        <v>607</v>
      </c>
      <c r="D250" s="135"/>
      <c r="E250" s="135"/>
      <c r="F250" s="135"/>
      <c r="G250" s="137">
        <f>SUMIF(DH47:DH236,1007,DG47:DG236)</f>
        <v>0</v>
      </c>
    </row>
    <row r="251" spans="3:7" hidden="1" x14ac:dyDescent="0.2">
      <c r="C251" s="139" t="s">
        <v>608</v>
      </c>
      <c r="D251" s="135"/>
      <c r="E251" s="135"/>
      <c r="F251" s="135"/>
      <c r="G251" s="137">
        <f>SUMIF(DH47:DH236,1008,DG47:DG236)</f>
        <v>0</v>
      </c>
    </row>
    <row r="252" spans="3:7" hidden="1" x14ac:dyDescent="0.2">
      <c r="C252" s="139" t="s">
        <v>609</v>
      </c>
      <c r="D252" s="135"/>
      <c r="E252" s="135"/>
      <c r="F252" s="135"/>
      <c r="G252" s="137">
        <f>SUMIF(DH47:DH236,1009,DG47:DG236)</f>
        <v>0</v>
      </c>
    </row>
    <row r="253" spans="3:7" hidden="1" x14ac:dyDescent="0.2">
      <c r="C253" s="139" t="s">
        <v>610</v>
      </c>
      <c r="D253" s="135"/>
      <c r="E253" s="135"/>
      <c r="F253" s="135"/>
      <c r="G253" s="137">
        <f>SUMIF(DH47:DH236,1010,DG47:DG236)</f>
        <v>0</v>
      </c>
    </row>
    <row r="254" spans="3:7" hidden="1" x14ac:dyDescent="0.2">
      <c r="C254" s="139" t="s">
        <v>611</v>
      </c>
      <c r="D254" s="135"/>
      <c r="E254" s="135"/>
      <c r="F254" s="135"/>
      <c r="G254" s="137">
        <f>SUMIF(DH47:DH236,1011,DG47:DG236)</f>
        <v>0</v>
      </c>
    </row>
    <row r="255" spans="3:7" hidden="1" x14ac:dyDescent="0.2">
      <c r="C255" s="139" t="s">
        <v>612</v>
      </c>
      <c r="D255" s="135"/>
      <c r="E255" s="135"/>
      <c r="F255" s="135"/>
      <c r="G255" s="137">
        <f>SUMIF(DH47:DH236,1012,DG47:DG236)</f>
        <v>0</v>
      </c>
    </row>
    <row r="256" spans="3:7" hidden="1" x14ac:dyDescent="0.2">
      <c r="C256" s="139" t="s">
        <v>613</v>
      </c>
      <c r="D256" s="135"/>
      <c r="E256" s="135"/>
      <c r="F256" s="135"/>
      <c r="G256" s="137">
        <f>SUMIF(DH47:DH236,1013,DG47:DG236)</f>
        <v>0</v>
      </c>
    </row>
    <row r="257" spans="3:7" hidden="1" x14ac:dyDescent="0.2">
      <c r="C257" s="139" t="s">
        <v>614</v>
      </c>
      <c r="D257" s="135"/>
      <c r="E257" s="135"/>
      <c r="F257" s="135"/>
      <c r="G257" s="137">
        <f>SUMIF(DH47:DH236,1014,DG47:DG236)</f>
        <v>0</v>
      </c>
    </row>
    <row r="258" spans="3:7" hidden="1" x14ac:dyDescent="0.2">
      <c r="C258" s="139" t="s">
        <v>615</v>
      </c>
      <c r="D258" s="135"/>
      <c r="E258" s="135"/>
      <c r="F258" s="135"/>
      <c r="G258" s="137">
        <f>SUMIF(DH47:DH236,1015,DG47:DG236)</f>
        <v>0</v>
      </c>
    </row>
    <row r="259" spans="3:7" x14ac:dyDescent="0.2">
      <c r="C259" s="139" t="s">
        <v>616</v>
      </c>
      <c r="D259" s="135"/>
      <c r="E259" s="135"/>
      <c r="F259" s="135"/>
      <c r="G259" s="137" t="e">
        <f>SUMIF(DH47:DH236,1,DG47:DG236)</f>
        <v>#REF!</v>
      </c>
    </row>
    <row r="260" spans="3:7" x14ac:dyDescent="0.2">
      <c r="C260" s="141" t="s">
        <v>617</v>
      </c>
      <c r="D260" s="140"/>
      <c r="E260" s="140"/>
      <c r="F260" s="140"/>
      <c r="G260" s="142" t="e">
        <f>Source!Q73</f>
        <v>#REF!</v>
      </c>
    </row>
    <row r="261" spans="3:7" x14ac:dyDescent="0.2">
      <c r="C261" s="138" t="s">
        <v>598</v>
      </c>
      <c r="D261" s="132"/>
      <c r="E261" s="132"/>
      <c r="F261" s="132"/>
      <c r="G261" s="132"/>
    </row>
    <row r="262" spans="3:7" x14ac:dyDescent="0.2">
      <c r="C262" s="143" t="s">
        <v>618</v>
      </c>
      <c r="D262" s="140"/>
      <c r="E262" s="140"/>
      <c r="F262" s="140"/>
      <c r="G262" s="142" t="e">
        <f>Source!R73</f>
        <v>#REF!</v>
      </c>
    </row>
    <row r="263" spans="3:7" x14ac:dyDescent="0.2">
      <c r="C263" s="144" t="s">
        <v>619</v>
      </c>
      <c r="D263" s="84"/>
      <c r="E263" s="84"/>
      <c r="F263" s="84"/>
      <c r="G263" s="145" t="e">
        <f>Source!AW73+SUM(DB47:DB236)</f>
        <v>#REF!</v>
      </c>
    </row>
    <row r="264" spans="3:7" hidden="1" x14ac:dyDescent="0.2">
      <c r="C264" s="146" t="s">
        <v>598</v>
      </c>
      <c r="D264" s="84"/>
      <c r="E264" s="84"/>
      <c r="F264" s="84"/>
      <c r="G264" s="145"/>
    </row>
    <row r="265" spans="3:7" hidden="1" x14ac:dyDescent="0.2">
      <c r="C265" s="147" t="s">
        <v>620</v>
      </c>
      <c r="D265" s="84"/>
      <c r="E265" s="84"/>
      <c r="F265" s="84"/>
      <c r="G265" s="145" t="e">
        <f>Source!AW73</f>
        <v>#REF!</v>
      </c>
    </row>
    <row r="266" spans="3:7" hidden="1" x14ac:dyDescent="0.2">
      <c r="C266" s="148" t="s">
        <v>621</v>
      </c>
      <c r="D266" s="84"/>
      <c r="E266" s="84"/>
      <c r="F266" s="84"/>
      <c r="G266" s="145">
        <f>Source!AX73</f>
        <v>0</v>
      </c>
    </row>
    <row r="267" spans="3:7" hidden="1" x14ac:dyDescent="0.2">
      <c r="C267" s="148" t="s">
        <v>622</v>
      </c>
      <c r="D267" s="84"/>
      <c r="E267" s="84"/>
      <c r="F267" s="84"/>
      <c r="G267" s="145" t="e">
        <f>Source!AY73</f>
        <v>#REF!</v>
      </c>
    </row>
    <row r="268" spans="3:7" hidden="1" x14ac:dyDescent="0.2">
      <c r="C268" s="147" t="s">
        <v>623</v>
      </c>
      <c r="D268" s="84"/>
      <c r="E268" s="84"/>
      <c r="F268" s="84"/>
      <c r="G268" s="145">
        <f>SUM(DB47:DB236)</f>
        <v>0</v>
      </c>
    </row>
    <row r="269" spans="3:7" x14ac:dyDescent="0.2">
      <c r="C269" s="149" t="s">
        <v>624</v>
      </c>
      <c r="D269" s="131"/>
      <c r="E269" s="131"/>
      <c r="F269" s="131"/>
      <c r="G269" s="150" t="e">
        <f>SUM(DD47:DD236)</f>
        <v>#REF!</v>
      </c>
    </row>
    <row r="271" spans="3:7" x14ac:dyDescent="0.2">
      <c r="C271" s="135" t="s">
        <v>625</v>
      </c>
      <c r="D271" s="135"/>
      <c r="E271" s="135"/>
      <c r="F271" s="135"/>
      <c r="G271" s="137" t="e">
        <f>Source!S73+Source!R73</f>
        <v>#REF!</v>
      </c>
    </row>
    <row r="273" spans="1:7" x14ac:dyDescent="0.2">
      <c r="A273" s="151"/>
      <c r="B273" s="151"/>
      <c r="C273" s="151" t="s">
        <v>626</v>
      </c>
      <c r="D273" s="151"/>
      <c r="E273" s="151"/>
      <c r="F273" s="151"/>
      <c r="G273" s="152" t="e">
        <f>Source!X73</f>
        <v>#REF!</v>
      </c>
    </row>
    <row r="274" spans="1:7" x14ac:dyDescent="0.2">
      <c r="A274" s="151"/>
      <c r="B274" s="151"/>
      <c r="C274" s="151" t="s">
        <v>627</v>
      </c>
      <c r="D274" s="151"/>
      <c r="E274" s="151"/>
      <c r="F274" s="151"/>
      <c r="G274" s="152" t="e">
        <f>Source!Y73</f>
        <v>#REF!</v>
      </c>
    </row>
    <row r="276" spans="1:7" hidden="1" x14ac:dyDescent="0.2">
      <c r="C276" s="153" t="s">
        <v>628</v>
      </c>
      <c r="D276" s="153"/>
      <c r="E276" s="153"/>
      <c r="F276" s="153"/>
      <c r="G276" s="154">
        <f>Source!AP73+SUM(DC47:DC236)</f>
        <v>0</v>
      </c>
    </row>
    <row r="277" spans="1:7" hidden="1" x14ac:dyDescent="0.2">
      <c r="C277" s="155" t="s">
        <v>598</v>
      </c>
      <c r="D277" s="156"/>
      <c r="E277" s="156"/>
      <c r="F277" s="156"/>
      <c r="G277" s="156"/>
    </row>
    <row r="278" spans="1:7" hidden="1" x14ac:dyDescent="0.2">
      <c r="C278" s="157" t="s">
        <v>629</v>
      </c>
      <c r="D278" s="153"/>
      <c r="E278" s="153"/>
      <c r="F278" s="153"/>
      <c r="G278" s="154">
        <f>Source!AP73</f>
        <v>0</v>
      </c>
    </row>
    <row r="279" spans="1:7" hidden="1" x14ac:dyDescent="0.2">
      <c r="C279" s="158" t="s">
        <v>630</v>
      </c>
      <c r="D279" s="153"/>
      <c r="E279" s="153"/>
      <c r="F279" s="153"/>
      <c r="G279" s="154">
        <f>Source!AQ73</f>
        <v>0</v>
      </c>
    </row>
    <row r="280" spans="1:7" hidden="1" x14ac:dyDescent="0.2">
      <c r="C280" s="158" t="s">
        <v>631</v>
      </c>
      <c r="D280" s="153"/>
      <c r="E280" s="153"/>
      <c r="F280" s="153"/>
      <c r="G280" s="154">
        <f>Source!AZ73</f>
        <v>0</v>
      </c>
    </row>
    <row r="281" spans="1:7" hidden="1" x14ac:dyDescent="0.2">
      <c r="C281" s="157" t="s">
        <v>632</v>
      </c>
      <c r="D281" s="153"/>
      <c r="E281" s="153"/>
      <c r="F281" s="153"/>
      <c r="G281" s="154">
        <f>SUM(DC47:DC236)</f>
        <v>0</v>
      </c>
    </row>
    <row r="283" spans="1:7" x14ac:dyDescent="0.2">
      <c r="C283" s="11" t="s">
        <v>633</v>
      </c>
      <c r="D283" s="11"/>
      <c r="E283" s="11"/>
      <c r="F283" s="11"/>
      <c r="G283" s="133" t="e">
        <f>Source!AR73</f>
        <v>#REF!</v>
      </c>
    </row>
    <row r="284" spans="1:7" x14ac:dyDescent="0.2">
      <c r="C284" s="134" t="s">
        <v>634</v>
      </c>
      <c r="D284" s="132"/>
      <c r="E284" s="132"/>
      <c r="F284" s="132"/>
      <c r="G284" s="132"/>
    </row>
    <row r="285" spans="1:7" x14ac:dyDescent="0.2">
      <c r="C285" s="159" t="s">
        <v>635</v>
      </c>
      <c r="D285" s="11"/>
      <c r="E285" s="11"/>
      <c r="F285" s="11"/>
      <c r="G285" s="133" t="e">
        <f>Source!AS73</f>
        <v>#REF!</v>
      </c>
    </row>
    <row r="286" spans="1:7" x14ac:dyDescent="0.2">
      <c r="C286" s="159" t="s">
        <v>186</v>
      </c>
      <c r="D286" s="11"/>
      <c r="E286" s="11"/>
      <c r="F286" s="11"/>
      <c r="G286" s="133" t="e">
        <f>Source!AT73</f>
        <v>#REF!</v>
      </c>
    </row>
    <row r="287" spans="1:7" hidden="1" x14ac:dyDescent="0.2">
      <c r="C287" s="157" t="s">
        <v>636</v>
      </c>
      <c r="D287" s="153"/>
      <c r="E287" s="153"/>
      <c r="F287" s="153"/>
      <c r="G287" s="154">
        <f>Source!AP73+SUM(DC47:DC236)</f>
        <v>0</v>
      </c>
    </row>
    <row r="288" spans="1:7" x14ac:dyDescent="0.2">
      <c r="C288" s="159" t="s">
        <v>252</v>
      </c>
      <c r="D288" s="11"/>
      <c r="E288" s="11"/>
      <c r="F288" s="11"/>
      <c r="G288" s="133" t="e">
        <f>Source!AU73</f>
        <v>#REF!</v>
      </c>
    </row>
    <row r="290" spans="3:7" x14ac:dyDescent="0.2">
      <c r="C290" s="11" t="s">
        <v>637</v>
      </c>
      <c r="D290" s="11"/>
      <c r="E290" s="11"/>
      <c r="F290" s="11"/>
      <c r="G290" s="133" t="e">
        <f>Source!AS73+Source!AT73</f>
        <v>#REF!</v>
      </c>
    </row>
    <row r="291" spans="3:7" x14ac:dyDescent="0.2">
      <c r="C291" s="11" t="s">
        <v>638</v>
      </c>
      <c r="D291" s="11"/>
      <c r="E291" s="11"/>
      <c r="F291" s="11"/>
      <c r="G291" s="11"/>
    </row>
    <row r="292" spans="3:7" x14ac:dyDescent="0.2">
      <c r="C292" s="11" t="s">
        <v>639</v>
      </c>
      <c r="D292" s="11"/>
      <c r="E292" s="22">
        <v>1.9550000000000001</v>
      </c>
      <c r="F292" s="160" t="s">
        <v>583</v>
      </c>
      <c r="G292" s="133" t="e">
        <f>ROUND(G290*E292/100,2)</f>
        <v>#REF!</v>
      </c>
    </row>
    <row r="293" spans="3:7" x14ac:dyDescent="0.2">
      <c r="C293" s="11" t="s">
        <v>640</v>
      </c>
      <c r="D293" s="11"/>
      <c r="E293" s="11"/>
      <c r="F293" s="11"/>
      <c r="G293" s="133" t="e">
        <f>G292+G290</f>
        <v>#REF!</v>
      </c>
    </row>
    <row r="295" spans="3:7" x14ac:dyDescent="0.2">
      <c r="C295" s="23" t="s">
        <v>270</v>
      </c>
      <c r="D295" s="23"/>
      <c r="E295" s="23"/>
      <c r="F295" s="23"/>
      <c r="G295" s="161" t="e">
        <f>G293+Source!AP73+SUM(DC47:DC236)+Source!AU73</f>
        <v>#REF!</v>
      </c>
    </row>
    <row r="296" spans="3:7" x14ac:dyDescent="0.2">
      <c r="C296" s="11" t="s">
        <v>641</v>
      </c>
      <c r="D296" s="11"/>
      <c r="E296" s="22">
        <v>20</v>
      </c>
      <c r="F296" s="160" t="s">
        <v>583</v>
      </c>
      <c r="G296" s="133" t="e">
        <f>ROUND(G295*E296/100,2)</f>
        <v>#REF!</v>
      </c>
    </row>
    <row r="297" spans="3:7" x14ac:dyDescent="0.2">
      <c r="C297" s="23" t="s">
        <v>642</v>
      </c>
      <c r="D297" s="23"/>
      <c r="E297" s="23"/>
      <c r="F297" s="23"/>
      <c r="G297" s="161" t="e">
        <f>G296+G295</f>
        <v>#REF!</v>
      </c>
    </row>
    <row r="299" spans="3:7" x14ac:dyDescent="0.2">
      <c r="C299" s="132" t="s">
        <v>643</v>
      </c>
      <c r="D299" s="132"/>
      <c r="E299" s="132"/>
      <c r="F299" s="132"/>
      <c r="G299" s="132"/>
    </row>
    <row r="300" spans="3:7" x14ac:dyDescent="0.2">
      <c r="C300" s="162" t="s">
        <v>644</v>
      </c>
      <c r="D300" s="11"/>
      <c r="E300" s="11"/>
      <c r="F300" s="11"/>
      <c r="G300" s="133" t="e">
        <f>Source!P73+SUM(DB47:DB236)+SUM(DC47:DC236)</f>
        <v>#REF!</v>
      </c>
    </row>
    <row r="301" spans="3:7" hidden="1" x14ac:dyDescent="0.2">
      <c r="C301" s="134" t="s">
        <v>598</v>
      </c>
      <c r="D301" s="132"/>
      <c r="E301" s="132"/>
      <c r="F301" s="132"/>
      <c r="G301" s="132"/>
    </row>
    <row r="302" spans="3:7" hidden="1" x14ac:dyDescent="0.2">
      <c r="C302" s="159" t="s">
        <v>645</v>
      </c>
      <c r="D302" s="11"/>
      <c r="E302" s="11"/>
      <c r="F302" s="11"/>
      <c r="G302" s="133">
        <f>Source!AO73</f>
        <v>0</v>
      </c>
    </row>
    <row r="303" spans="3:7" hidden="1" x14ac:dyDescent="0.2">
      <c r="C303" s="159" t="s">
        <v>646</v>
      </c>
      <c r="D303" s="11"/>
      <c r="E303" s="11"/>
      <c r="F303" s="11"/>
      <c r="G303" s="133" t="e">
        <f>Source!AV73</f>
        <v>#REF!</v>
      </c>
    </row>
    <row r="304" spans="3:7" hidden="1" x14ac:dyDescent="0.2">
      <c r="C304" s="144" t="s">
        <v>647</v>
      </c>
      <c r="D304" s="84"/>
      <c r="E304" s="84"/>
      <c r="F304" s="84"/>
      <c r="G304" s="145">
        <f>SUM(DE47:DE236)</f>
        <v>0</v>
      </c>
    </row>
    <row r="305" spans="1:255" hidden="1" x14ac:dyDescent="0.2">
      <c r="C305" s="157" t="s">
        <v>648</v>
      </c>
      <c r="D305" s="153"/>
      <c r="E305" s="153"/>
      <c r="F305" s="153"/>
      <c r="G305" s="154">
        <f>SUM(DF47:DF236)</f>
        <v>0</v>
      </c>
    </row>
    <row r="306" spans="1:255" x14ac:dyDescent="0.2">
      <c r="C306" s="162" t="s">
        <v>649</v>
      </c>
      <c r="D306" s="133">
        <f>Source!U73</f>
        <v>1298.145164</v>
      </c>
      <c r="E306" s="11"/>
      <c r="F306" s="11"/>
      <c r="G306" s="11"/>
    </row>
    <row r="307" spans="1:255" x14ac:dyDescent="0.2">
      <c r="C307" s="162" t="s">
        <v>261</v>
      </c>
      <c r="D307" s="133">
        <f>Source!V73</f>
        <v>227.79489799999999</v>
      </c>
      <c r="E307" s="11"/>
      <c r="F307" s="11"/>
      <c r="G307" s="11"/>
    </row>
    <row r="308" spans="1:255" hidden="1" outlineLevel="1" x14ac:dyDescent="0.2"/>
    <row r="309" spans="1:255" hidden="1" outlineLevel="1" x14ac:dyDescent="0.2"/>
    <row r="310" spans="1:255" hidden="1" outlineLevel="1" x14ac:dyDescent="0.2">
      <c r="A310" s="163" t="s">
        <v>650</v>
      </c>
      <c r="B310" s="163"/>
      <c r="C310" s="181"/>
      <c r="D310" s="164"/>
      <c r="E310" s="164"/>
      <c r="F310" s="223"/>
      <c r="G310" s="223"/>
      <c r="BY310" s="165">
        <f>C310</f>
        <v>0</v>
      </c>
      <c r="BZ310" s="165">
        <f>F310</f>
        <v>0</v>
      </c>
      <c r="IU310" s="21"/>
    </row>
    <row r="311" spans="1:255" s="167" customFormat="1" ht="11.25" hidden="1" outlineLevel="1" x14ac:dyDescent="0.2">
      <c r="A311" s="166"/>
      <c r="B311" s="166"/>
      <c r="C311" s="245" t="s">
        <v>651</v>
      </c>
      <c r="D311" s="245"/>
      <c r="E311" s="245"/>
      <c r="F311" s="245" t="s">
        <v>652</v>
      </c>
      <c r="G311" s="245"/>
    </row>
    <row r="312" spans="1:255" hidden="1" outlineLevel="1" x14ac:dyDescent="0.2">
      <c r="A312" s="16"/>
      <c r="B312" s="16"/>
      <c r="C312" s="16"/>
      <c r="D312" s="9" t="s">
        <v>653</v>
      </c>
      <c r="E312" s="16"/>
      <c r="F312" s="16"/>
      <c r="G312" s="16"/>
    </row>
    <row r="313" spans="1:255" hidden="1" outlineLevel="1" x14ac:dyDescent="0.2">
      <c r="A313" s="163" t="s">
        <v>654</v>
      </c>
      <c r="B313" s="163"/>
      <c r="C313" s="181"/>
      <c r="D313" s="164"/>
      <c r="E313" s="164"/>
      <c r="F313" s="223"/>
      <c r="G313" s="223"/>
      <c r="BY313" s="165">
        <f>C313</f>
        <v>0</v>
      </c>
      <c r="BZ313" s="165">
        <f>F313</f>
        <v>0</v>
      </c>
      <c r="IU313" s="21"/>
    </row>
    <row r="314" spans="1:255" s="167" customFormat="1" ht="11.25" hidden="1" outlineLevel="1" x14ac:dyDescent="0.2">
      <c r="A314" s="166"/>
      <c r="B314" s="166"/>
      <c r="C314" s="245" t="s">
        <v>651</v>
      </c>
      <c r="D314" s="245"/>
      <c r="E314" s="245"/>
      <c r="F314" s="245" t="s">
        <v>652</v>
      </c>
      <c r="G314" s="245"/>
    </row>
    <row r="315" spans="1:255" hidden="1" outlineLevel="1" x14ac:dyDescent="0.2">
      <c r="A315" s="16"/>
      <c r="B315" s="16"/>
      <c r="C315" s="16"/>
      <c r="D315" s="9" t="s">
        <v>653</v>
      </c>
      <c r="E315" s="16"/>
      <c r="F315" s="16"/>
      <c r="G315" s="16"/>
    </row>
    <row r="316" spans="1:255" collapsed="1" x14ac:dyDescent="0.2"/>
    <row r="317" spans="1:255" outlineLevel="1" x14ac:dyDescent="0.2"/>
    <row r="318" spans="1:255" outlineLevel="1" x14ac:dyDescent="0.2"/>
    <row r="319" spans="1:255" outlineLevel="1" x14ac:dyDescent="0.2">
      <c r="A319" s="163" t="s">
        <v>655</v>
      </c>
      <c r="B319" s="163"/>
      <c r="C319" s="181" t="s">
        <v>656</v>
      </c>
      <c r="D319" s="164"/>
      <c r="E319" s="164"/>
      <c r="F319" s="223" t="s">
        <v>657</v>
      </c>
      <c r="G319" s="223"/>
      <c r="BY319" s="165" t="str">
        <f>C319</f>
        <v>Ведущий инженер-сметчик ООО "ОДСК-Инжиниринг"</v>
      </c>
      <c r="BZ319" s="165" t="str">
        <f>F319</f>
        <v>Мамаева Е.М.</v>
      </c>
      <c r="IU319" s="21"/>
    </row>
    <row r="320" spans="1:255" s="167" customFormat="1" ht="11.25" outlineLevel="1" x14ac:dyDescent="0.2">
      <c r="A320" s="166"/>
      <c r="B320" s="166"/>
      <c r="C320" s="245" t="s">
        <v>651</v>
      </c>
      <c r="D320" s="245"/>
      <c r="E320" s="245"/>
      <c r="F320" s="245" t="s">
        <v>652</v>
      </c>
      <c r="G320" s="245"/>
    </row>
    <row r="321" spans="1:255" outlineLevel="1" x14ac:dyDescent="0.2">
      <c r="A321" s="16"/>
      <c r="B321" s="16"/>
      <c r="C321" s="16"/>
      <c r="D321" s="9" t="s">
        <v>653</v>
      </c>
      <c r="E321" s="16"/>
      <c r="F321" s="16"/>
      <c r="G321" s="16"/>
    </row>
    <row r="322" spans="1:255" outlineLevel="1" x14ac:dyDescent="0.2">
      <c r="A322" s="163" t="s">
        <v>658</v>
      </c>
      <c r="B322" s="163"/>
      <c r="C322" s="181" t="s">
        <v>659</v>
      </c>
      <c r="D322" s="164"/>
      <c r="E322" s="164"/>
      <c r="F322" s="223" t="s">
        <v>660</v>
      </c>
      <c r="G322" s="223"/>
      <c r="BY322" s="165" t="str">
        <f>C322</f>
        <v>Главный инженер-сметчик ООО "ОДСК-Инжиниринг"</v>
      </c>
      <c r="BZ322" s="165" t="str">
        <f>F322</f>
        <v>Кузнецова У.И.</v>
      </c>
      <c r="IU322" s="21"/>
    </row>
    <row r="323" spans="1:255" s="167" customFormat="1" ht="11.25" outlineLevel="1" x14ac:dyDescent="0.2">
      <c r="A323" s="166"/>
      <c r="B323" s="166"/>
      <c r="C323" s="245" t="s">
        <v>651</v>
      </c>
      <c r="D323" s="245"/>
      <c r="E323" s="245"/>
      <c r="F323" s="245" t="s">
        <v>652</v>
      </c>
      <c r="G323" s="245"/>
    </row>
    <row r="324" spans="1:255" outlineLevel="1" x14ac:dyDescent="0.2">
      <c r="A324" s="16"/>
      <c r="B324" s="16"/>
      <c r="C324" s="16"/>
      <c r="D324" s="9" t="s">
        <v>653</v>
      </c>
      <c r="E324" s="16"/>
      <c r="F324" s="16"/>
      <c r="G324" s="16"/>
    </row>
    <row r="325" spans="1:255" outlineLevel="1" x14ac:dyDescent="0.2">
      <c r="A325" s="163" t="s">
        <v>536</v>
      </c>
      <c r="B325" s="163"/>
      <c r="C325" s="181" t="s">
        <v>667</v>
      </c>
      <c r="D325" s="164"/>
      <c r="E325" s="164"/>
      <c r="F325" s="223" t="s">
        <v>661</v>
      </c>
      <c r="G325" s="223"/>
      <c r="BY325" s="165" t="str">
        <f>C325</f>
        <v>Руководитель ПТС ООО "ОСУ-2"</v>
      </c>
      <c r="BZ325" s="165" t="str">
        <f>F325</f>
        <v>Когтев В.И.</v>
      </c>
      <c r="IU325" s="21"/>
    </row>
    <row r="326" spans="1:255" s="167" customFormat="1" ht="11.25" outlineLevel="1" x14ac:dyDescent="0.2">
      <c r="A326" s="166"/>
      <c r="B326" s="166"/>
      <c r="C326" s="245" t="s">
        <v>651</v>
      </c>
      <c r="D326" s="245"/>
      <c r="E326" s="245"/>
      <c r="F326" s="245" t="s">
        <v>652</v>
      </c>
      <c r="G326" s="245"/>
    </row>
    <row r="327" spans="1:255" outlineLevel="1" x14ac:dyDescent="0.2">
      <c r="A327" s="16"/>
      <c r="B327" s="16"/>
      <c r="C327" s="16"/>
      <c r="D327" s="9" t="s">
        <v>653</v>
      </c>
      <c r="E327" s="16"/>
      <c r="F327" s="16"/>
      <c r="G327" s="16"/>
    </row>
    <row r="329" spans="1:255" x14ac:dyDescent="0.2">
      <c r="A329" s="29"/>
      <c r="B329" s="29"/>
    </row>
  </sheetData>
  <mergeCells count="48">
    <mergeCell ref="F13:G13"/>
    <mergeCell ref="D2:G2"/>
    <mergeCell ref="D3:G3"/>
    <mergeCell ref="D4:G4"/>
    <mergeCell ref="F5:G5"/>
    <mergeCell ref="F6:G6"/>
    <mergeCell ref="F7:G7"/>
    <mergeCell ref="F8:G8"/>
    <mergeCell ref="F9:G9"/>
    <mergeCell ref="F10:G10"/>
    <mergeCell ref="F11:G11"/>
    <mergeCell ref="F12:G12"/>
    <mergeCell ref="A34:G34"/>
    <mergeCell ref="C14:D14"/>
    <mergeCell ref="F14:G14"/>
    <mergeCell ref="F15:G15"/>
    <mergeCell ref="F16:G16"/>
    <mergeCell ref="D18:D19"/>
    <mergeCell ref="E18:E19"/>
    <mergeCell ref="F18:G18"/>
    <mergeCell ref="E26:F26"/>
    <mergeCell ref="C29:G29"/>
    <mergeCell ref="C30:G30"/>
    <mergeCell ref="C31:G31"/>
    <mergeCell ref="A33:G33"/>
    <mergeCell ref="C35:G35"/>
    <mergeCell ref="A42:A45"/>
    <mergeCell ref="B42:B45"/>
    <mergeCell ref="C42:C45"/>
    <mergeCell ref="D42:D45"/>
    <mergeCell ref="E42:E45"/>
    <mergeCell ref="F42:F45"/>
    <mergeCell ref="G42:G45"/>
    <mergeCell ref="F310:G310"/>
    <mergeCell ref="C311:E311"/>
    <mergeCell ref="F311:G311"/>
    <mergeCell ref="F313:G313"/>
    <mergeCell ref="C314:E314"/>
    <mergeCell ref="F314:G314"/>
    <mergeCell ref="F325:G325"/>
    <mergeCell ref="C326:E326"/>
    <mergeCell ref="F326:G326"/>
    <mergeCell ref="F319:G319"/>
    <mergeCell ref="C320:E320"/>
    <mergeCell ref="F320:G320"/>
    <mergeCell ref="F322:G322"/>
    <mergeCell ref="C323:E323"/>
    <mergeCell ref="F323:G323"/>
  </mergeCells>
  <printOptions horizontalCentered="1"/>
  <pageMargins left="0.78740157480314998" right="0.39370078740157499" top="0.39370078740157499" bottom="0.39370078740157499" header="0" footer="0"/>
  <pageSetup paperSize="9" scale="80" orientation="portrait" r:id="rId1"/>
  <headerFooter>
    <oddHeader>&amp;CСтраница &amp;P из &amp;N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7"/>
  <sheetViews>
    <sheetView workbookViewId="0"/>
  </sheetViews>
  <sheetFormatPr defaultRowHeight="12.75" x14ac:dyDescent="0.2"/>
  <sheetData>
    <row r="1" spans="1:255" x14ac:dyDescent="0.2">
      <c r="B1" t="s">
        <v>505</v>
      </c>
    </row>
    <row r="3" spans="1:255" x14ac:dyDescent="0.2">
      <c r="A3">
        <v>3</v>
      </c>
      <c r="B3" t="s">
        <v>506</v>
      </c>
    </row>
    <row r="4" spans="1:255" x14ac:dyDescent="0.2">
      <c r="A4">
        <v>1</v>
      </c>
      <c r="B4" t="s">
        <v>507</v>
      </c>
    </row>
    <row r="5" spans="1:255" x14ac:dyDescent="0.2">
      <c r="A5">
        <v>0</v>
      </c>
      <c r="B5" t="s">
        <v>508</v>
      </c>
    </row>
    <row r="6" spans="1:255" x14ac:dyDescent="0.2">
      <c r="A6">
        <v>1</v>
      </c>
      <c r="B6" t="s">
        <v>509</v>
      </c>
    </row>
    <row r="7" spans="1:255" x14ac:dyDescent="0.2">
      <c r="A7">
        <v>0</v>
      </c>
      <c r="B7" t="s">
        <v>510</v>
      </c>
    </row>
    <row r="8" spans="1:255" x14ac:dyDescent="0.2">
      <c r="A8">
        <v>2</v>
      </c>
      <c r="B8" t="s">
        <v>511</v>
      </c>
    </row>
    <row r="9" spans="1:255" x14ac:dyDescent="0.2">
      <c r="A9">
        <v>0</v>
      </c>
      <c r="B9" t="s">
        <v>512</v>
      </c>
    </row>
    <row r="13" spans="1:255" x14ac:dyDescent="0.2">
      <c r="A13">
        <v>3</v>
      </c>
      <c r="B13" t="s">
        <v>574</v>
      </c>
      <c r="D13" t="s">
        <v>575</v>
      </c>
      <c r="F13" t="s">
        <v>576</v>
      </c>
    </row>
    <row r="14" spans="1:255" x14ac:dyDescent="0.2">
      <c r="A14">
        <v>513</v>
      </c>
      <c r="B14" t="s">
        <v>596</v>
      </c>
      <c r="D14" t="s">
        <v>575</v>
      </c>
      <c r="F14" t="s">
        <v>576</v>
      </c>
      <c r="AY14">
        <f>SUM('2.Лок.смета.и.Акт в ЕР'!AS47:'2.Лок.смета.и.Акт в ЕР'!AS236)</f>
        <v>0</v>
      </c>
      <c r="AZ14">
        <f>SUM('2.Лок.смета.и.Акт в ЕР'!AT47:'2.Лок.смета.и.Акт в ЕР'!AT236)</f>
        <v>0</v>
      </c>
      <c r="BA14">
        <f>SUM('2.Лок.смета.и.Акт в ЕР'!AU47:'2.Лок.смета.и.Акт в ЕР'!AU236)</f>
        <v>0</v>
      </c>
      <c r="BB14">
        <f>SUM('2.Лок.смета.и.Акт в ЕР'!AV47:'2.Лок.смета.и.Акт в ЕР'!AV236)</f>
        <v>0</v>
      </c>
      <c r="BC14">
        <f>SUM('2.Лок.смета.и.Акт в ЕР'!AW47:'2.Лок.смета.и.Акт в ЕР'!AW236)</f>
        <v>0</v>
      </c>
      <c r="BD14">
        <f>SUM('2.Лок.смета.и.Акт в ЕР'!AX47:'2.Лок.смета.и.Акт в ЕР'!AX236)</f>
        <v>0</v>
      </c>
      <c r="CW14">
        <f>Source!U73</f>
        <v>1298.145164</v>
      </c>
      <c r="CX14">
        <f>Source!V73</f>
        <v>227.79489799999999</v>
      </c>
      <c r="CY14" t="e">
        <f>Source!O73</f>
        <v>#REF!</v>
      </c>
      <c r="CZ14" t="e">
        <f>Source!S73</f>
        <v>#REF!</v>
      </c>
      <c r="DA14" t="e">
        <f>Source!Q73</f>
        <v>#REF!</v>
      </c>
      <c r="DB14" t="e">
        <f>Source!R73</f>
        <v>#REF!</v>
      </c>
      <c r="DC14" t="e">
        <f>Source!P73</f>
        <v>#REF!</v>
      </c>
      <c r="DD14">
        <f>Source!AO73</f>
        <v>0</v>
      </c>
      <c r="DE14" t="e">
        <f>Source!AV73</f>
        <v>#REF!</v>
      </c>
      <c r="DF14" t="e">
        <f>Source!AW73</f>
        <v>#REF!</v>
      </c>
      <c r="DG14">
        <f>Source!AX73</f>
        <v>0</v>
      </c>
      <c r="DH14" t="e">
        <f>Source!AY73</f>
        <v>#REF!</v>
      </c>
      <c r="DI14">
        <f>Source!AP73</f>
        <v>0</v>
      </c>
      <c r="DJ14">
        <f>Source!AQ73</f>
        <v>0</v>
      </c>
      <c r="DK14">
        <f>Source!AZ73</f>
        <v>0</v>
      </c>
      <c r="DL14">
        <f>Source!T73</f>
        <v>0</v>
      </c>
      <c r="DM14">
        <f>Source!W73</f>
        <v>0</v>
      </c>
      <c r="DN14" t="e">
        <f>Source!X73</f>
        <v>#REF!</v>
      </c>
      <c r="DO14" t="e">
        <f>Source!Y73</f>
        <v>#REF!</v>
      </c>
      <c r="DP14" t="e">
        <f>Source!AR73</f>
        <v>#REF!</v>
      </c>
      <c r="DQ14" t="e">
        <f>Source!AS73</f>
        <v>#REF!</v>
      </c>
      <c r="DR14" t="e">
        <f>Source!AT73</f>
        <v>#REF!</v>
      </c>
      <c r="DS14">
        <f>Source!AP73</f>
        <v>0</v>
      </c>
      <c r="DT14" t="e">
        <f>Source!AU73</f>
        <v>#REF!</v>
      </c>
      <c r="DU14" t="e">
        <f>Source!AS73+Source!AT73</f>
        <v>#REF!</v>
      </c>
      <c r="DW14">
        <f>Source!BA73</f>
        <v>0</v>
      </c>
      <c r="DX14">
        <f>Source!BB73</f>
        <v>0</v>
      </c>
      <c r="DY14">
        <f>Source!BC73</f>
        <v>0</v>
      </c>
      <c r="DZ14" t="e">
        <f>Source!BD73</f>
        <v>#REF!</v>
      </c>
      <c r="ET14">
        <f>Source!U73</f>
        <v>1298.145164</v>
      </c>
      <c r="EU14">
        <f>Source!V73</f>
        <v>227.79489799999999</v>
      </c>
      <c r="EV14">
        <f>SUM('2.Лок.смета.и.Акт в ЕР'!GJ47:'2.Лок.смета.и.Акт в ЕР'!GJ236)</f>
        <v>0</v>
      </c>
      <c r="EW14">
        <f>SUM('2.Лок.смета.и.Акт в ЕР'!GK47:'2.Лок.смета.и.Акт в ЕР'!GK236)</f>
        <v>0</v>
      </c>
      <c r="EX14">
        <f>SUM('2.Лок.смета.и.Акт в ЕР'!GL47:'2.Лок.смета.и.Акт в ЕР'!GL236)</f>
        <v>0</v>
      </c>
      <c r="EY14">
        <f>SUM('2.Лок.смета.и.Акт в ЕР'!GM47:'2.Лок.смета.и.Акт в ЕР'!GM236)</f>
        <v>0</v>
      </c>
      <c r="EZ14">
        <f>SUM('2.Лок.смета.и.Акт в ЕР'!GN47:'2.Лок.смета.и.Акт в ЕР'!GN236)</f>
        <v>0</v>
      </c>
      <c r="FA14">
        <f>SUM('2.Лок.смета.и.Акт в ЕР'!GO47:'2.Лок.смета.и.Акт в ЕР'!GO236)</f>
        <v>0</v>
      </c>
      <c r="FB14">
        <f>SUM('2.Лок.смета.и.Акт в ЕР'!GP47:'2.Лок.смета.и.Акт в ЕР'!GP236)</f>
        <v>0</v>
      </c>
      <c r="FC14">
        <f>SUM('2.Лок.смета.и.Акт в ЕР'!GQ47:'2.Лок.смета.и.Акт в ЕР'!GQ236)</f>
        <v>0</v>
      </c>
      <c r="FD14">
        <f>SUM('2.Лок.смета.и.Акт в ЕР'!GR47:'2.Лок.смета.и.Акт в ЕР'!GR236)</f>
        <v>0</v>
      </c>
      <c r="FE14">
        <f>SUM('2.Лок.смета.и.Акт в ЕР'!GS47:'2.Лок.смета.и.Акт в ЕР'!GS236)</f>
        <v>0</v>
      </c>
      <c r="FF14">
        <f>SUM('2.Лок.смета.и.Акт в ЕР'!GT47:'2.Лок.смета.и.Акт в ЕР'!GT236)</f>
        <v>0</v>
      </c>
      <c r="FG14">
        <f>SUM('2.Лок.смета.и.Акт в ЕР'!GU47:'2.Лок.смета.и.Акт в ЕР'!GU236)</f>
        <v>0</v>
      </c>
      <c r="FH14">
        <f>SUM('2.Лок.смета.и.Акт в ЕР'!GV47:'2.Лок.смета.и.Акт в ЕР'!GV236)</f>
        <v>0</v>
      </c>
      <c r="FI14">
        <f>SUM('2.Лок.смета.и.Акт в ЕР'!GW47:'2.Лок.смета.и.Акт в ЕР'!GW236)</f>
        <v>0</v>
      </c>
      <c r="FJ14">
        <f>SUM('2.Лок.смета.и.Акт в ЕР'!GX47:'2.Лок.смета.и.Акт в ЕР'!GX236)</f>
        <v>0</v>
      </c>
      <c r="FK14">
        <f>SUM('2.Лок.смета.и.Акт в ЕР'!GY47:'2.Лок.смета.и.Акт в ЕР'!GY236)</f>
        <v>0</v>
      </c>
      <c r="FL14">
        <f>SUM('2.Лок.смета.и.Акт в ЕР'!GZ47:'2.Лок.смета.и.Акт в ЕР'!GZ236)</f>
        <v>0</v>
      </c>
      <c r="FM14">
        <f>SUM('2.Лок.смета.и.Акт в ЕР'!HA47:'2.Лок.смета.и.Акт в ЕР'!HA236)</f>
        <v>0</v>
      </c>
      <c r="FN14">
        <f>SUM('2.Лок.смета.и.Акт в ЕР'!HB47:'2.Лок.смета.и.Акт в ЕР'!HB236)</f>
        <v>0</v>
      </c>
      <c r="FO14">
        <f>SUM('2.Лок.смета.и.Акт в ЕР'!HC47:'2.Лок.смета.и.Акт в ЕР'!HC236)</f>
        <v>0</v>
      </c>
      <c r="FP14">
        <f>SUM('2.Лок.смета.и.Акт в ЕР'!HD47:'2.Лок.смета.и.Акт в ЕР'!HD236)</f>
        <v>0</v>
      </c>
      <c r="FQ14">
        <f>SUM('2.Лок.смета.и.Акт в ЕР'!HE47:'2.Лок.смета.и.Акт в ЕР'!HE236)</f>
        <v>0</v>
      </c>
      <c r="FR14">
        <f>SUM('2.Лок.смета.и.Акт в ЕР'!HB47:'2.Лок.смета.и.Акт в ЕР'!HB236)+SUM('2.Лок.смета.и.Акт в ЕР'!HC47:'2.Лок.смета.и.Акт в ЕР'!HC236)</f>
        <v>0</v>
      </c>
      <c r="FS14">
        <f>SUM('2.Лок.смета.и.Акт в ЕР'!HG47:'2.Лок.смета.и.Акт в ЕР'!HG236)</f>
        <v>0</v>
      </c>
      <c r="FT14">
        <f>SUM('2.Лок.смета.и.Акт в ЕР'!HH47:'2.Лок.смета.и.Акт в ЕР'!HH236)</f>
        <v>0</v>
      </c>
      <c r="FU14">
        <f>SUM('2.Лок.смета.и.Акт в ЕР'!HI47:'2.Лок.смета.и.Акт в ЕР'!HI236)</f>
        <v>0</v>
      </c>
      <c r="FV14">
        <f>SUM('2.Лок.смета.и.Акт в ЕР'!HJ47:'2.Лок.смета.и.Акт в ЕР'!HJ236)</f>
        <v>0</v>
      </c>
      <c r="FW14">
        <f>SUM('2.Лок.смета.и.Акт в ЕР'!HK47:'2.Лок.смета.и.Акт в ЕР'!HK236)</f>
        <v>0</v>
      </c>
      <c r="FX14">
        <f>SUMIF('2.Лок.смета.и.Акт в ЕР'!CV47:'2.Лок.смета.и.Акт в ЕР'!CV236,1,'2.Лок.смета.и.Акт в ЕР'!GK47:'2.Лок.смета.и.Акт в ЕР'!GK236)</f>
        <v>0</v>
      </c>
      <c r="FY14">
        <f>SUMIF('2.Лок.смета.и.Акт в ЕР'!CV47:'2.Лок.смета.и.Акт в ЕР'!CV236,2,'2.Лок.смета.и.Акт в ЕР'!GK47:'2.Лок.смета.и.Акт в ЕР'!GK236)</f>
        <v>0</v>
      </c>
      <c r="FZ14">
        <f>SUMIF('2.Лок.смета.и.Акт в ЕР'!CV47:'2.Лок.смета.и.Акт в ЕР'!CV236,5,'2.Лок.смета.и.Акт в ЕР'!GK47:'2.Лок.смета.и.Акт в ЕР'!GK236)</f>
        <v>0</v>
      </c>
      <c r="GA14">
        <f>SUMIF('2.Лок.смета.и.Акт в ЕР'!CV47:'2.Лок.смета.и.Акт в ЕР'!CV236,4,'2.Лок.смета.и.Акт в ЕР'!GK47:'2.Лок.смета.и.Акт в ЕР'!GK236)</f>
        <v>0</v>
      </c>
      <c r="GB14">
        <f>SUMIF('2.Лок.смета.и.Акт в ЕР'!CV47:'2.Лок.смета.и.Акт в ЕР'!CV236,1,'2.Лок.смета.и.Акт в ЕР'!GL47:'2.Лок.смета.и.Акт в ЕР'!GL236)</f>
        <v>0</v>
      </c>
      <c r="GC14">
        <f>SUMIF('2.Лок.смета.и.Акт в ЕР'!CV47:'2.Лок.смета.и.Акт в ЕР'!CV236,2,'2.Лок.смета.и.Акт в ЕР'!GL47:'2.Лок.смета.и.Акт в ЕР'!GL236)</f>
        <v>0</v>
      </c>
      <c r="GD14">
        <f>SUMIF('2.Лок.смета.и.Акт в ЕР'!CV47:'2.Лок.смета.и.Акт в ЕР'!CV236,4,'2.Лок.смета.и.Акт в ЕР'!GL47:'2.Лок.смета.и.Акт в ЕР'!GL236)</f>
        <v>0</v>
      </c>
      <c r="GE14">
        <f>SUMIF('2.Лок.смета.и.Акт в ЕР'!CV47:'2.Лок.смета.и.Акт в ЕР'!CV236,1,'2.Лок.смета.и.Акт в ЕР'!GQ47:'2.Лок.смета.и.Акт в ЕР'!GQ236)</f>
        <v>0</v>
      </c>
      <c r="GF14">
        <f>SUMIF('2.Лок.смета.и.Акт в ЕР'!CV47:'2.Лок.смета.и.Акт в ЕР'!CV236,2,'2.Лок.смета.и.Акт в ЕР'!GQ47:'2.Лок.смета.и.Акт в ЕР'!GQ236)</f>
        <v>0</v>
      </c>
      <c r="GG14">
        <f>SUMIF('2.Лок.смета.и.Акт в ЕР'!CV47:'2.Лок.смета.и.Акт в ЕР'!CV236,4,'2.Лок.смета.и.Акт в ЕР'!GQ47:'2.Лок.смета.и.Акт в ЕР'!GQ236)</f>
        <v>0</v>
      </c>
      <c r="IB14">
        <f>SUM('2.Лок.смета.и.Акт в ЕР'!HO47:'2.Лок.смета.и.Акт в ЕР'!HO236)</f>
        <v>0</v>
      </c>
      <c r="IC14">
        <f>SUM('2.Лок.смета.и.Акт в ЕР'!HQ47:'2.Лок.смета.и.Акт в ЕР'!HQ236)</f>
        <v>0</v>
      </c>
      <c r="ID14">
        <f>SUM('2.Лок.смета.и.Акт в ЕР'!HS47:'2.Лок.смета.и.Акт в ЕР'!HS236)</f>
        <v>0</v>
      </c>
      <c r="IE14">
        <f>SUM('2.Лок.смета.и.Акт в ЕР'!HU47:'2.Лок.смета.и.Акт в ЕР'!HU236)</f>
        <v>0</v>
      </c>
      <c r="IF14">
        <f>SUM('2.Лок.смета.и.Акт в ЕР'!HY47:'2.Лок.смета.и.Акт в ЕР'!HY236)</f>
        <v>0</v>
      </c>
      <c r="IG14">
        <f>SUM('2.Лок.смета.и.Акт в ЕР'!HZ47:'2.Лок.смета.и.Акт в ЕР'!HZ236)</f>
        <v>0</v>
      </c>
      <c r="IH14">
        <f>SUM('2.Лок.смета.и.Акт в ЕР'!HL47:'2.Лок.смета.и.Акт в ЕР'!HL236)</f>
        <v>0</v>
      </c>
      <c r="II14">
        <f>SUM('2.Лок.смета.и.Акт в ЕР'!HN47:'2.Лок.смета.и.Акт в ЕР'!HN236)</f>
        <v>0</v>
      </c>
      <c r="IJ14">
        <f>SUM('2.Лок.смета.и.Акт в ЕР'!HP47:'2.Лок.смета.и.Акт в ЕР'!HP236)</f>
        <v>0</v>
      </c>
      <c r="IK14">
        <f>SUM('2.Лок.смета.и.Акт в ЕР'!HR47:'2.Лок.смета.и.Акт в ЕР'!HR236)</f>
        <v>0</v>
      </c>
      <c r="IL14">
        <f>SUM('2.Лок.смета.и.Акт в ЕР'!HT47:'2.Лок.смета.и.Акт в ЕР'!HT236)</f>
        <v>0</v>
      </c>
      <c r="IM14">
        <f>SUM('2.Лок.смета.и.Акт в ЕР'!HW47:'2.Лок.смета.и.Акт в ЕР'!HW236)</f>
        <v>0</v>
      </c>
      <c r="IN14">
        <f>SUMIF('2.Лок.смета.и.Акт в ЕР'!CV47:'2.Лок.смета.и.Акт в ЕР'!CV236,1,'2.Лок.смета.и.Акт в ЕР'!GY47:'2.Лок.смета.и.Акт в ЕР'!GY236)</f>
        <v>0</v>
      </c>
      <c r="IO14">
        <f>SUMIF('2.Лок.смета.и.Акт в ЕР'!CV47:'2.Лок.смета.и.Акт в ЕР'!CV236,2,'2.Лок.смета.и.Акт в ЕР'!GY47:'2.Лок.смета.и.Акт в ЕР'!GY236)</f>
        <v>0</v>
      </c>
      <c r="IP14">
        <f>SUMIF('2.Лок.смета.и.Акт в ЕР'!CV47:'2.Лок.смета.и.Акт в ЕР'!CV236,5,'2.Лок.смета.и.Акт в ЕР'!GY47:'2.Лок.смета.и.Акт в ЕР'!GY236)</f>
        <v>0</v>
      </c>
      <c r="IQ14">
        <f>SUMIF('2.Лок.смета.и.Акт в ЕР'!CV47:'2.Лок.смета.и.Акт в ЕР'!CV236,4,'2.Лок.смета.и.Акт в ЕР'!GY47:'2.Лок.смета.и.Акт в ЕР'!GY236)</f>
        <v>0</v>
      </c>
      <c r="IR14">
        <f>SUMIF('2.Лок.смета.и.Акт в ЕР'!CV47:'2.Лок.смета.и.Акт в ЕР'!CV236,1,'2.Лок.смета.и.Акт в ЕР'!GZ47:'2.Лок.смета.и.Акт в ЕР'!GZ236)</f>
        <v>0</v>
      </c>
      <c r="IS14">
        <f>SUMIF('2.Лок.смета.и.Акт в ЕР'!CV47:'2.Лок.смета.и.Акт в ЕР'!CV236,2,'2.Лок.смета.и.Акт в ЕР'!GZ47:'2.Лок.смета.и.Акт в ЕР'!GZ236)</f>
        <v>0</v>
      </c>
      <c r="IT14">
        <f>SUMIF('2.Лок.смета.и.Акт в ЕР'!CV47:'2.Лок.смета.и.Акт в ЕР'!CV236,5,'2.Лок.смета.и.Акт в ЕР'!GZ47:'2.Лок.смета.и.Акт в ЕР'!GZ236)</f>
        <v>0</v>
      </c>
      <c r="IU14">
        <f>SUMIF('2.Лок.смета.и.Акт в ЕР'!CV47:'2.Лок.смета.и.Акт в ЕР'!CV236,4,'2.Лок.смета.и.Акт в ЕР'!GZ47:'2.Лок.смета.и.Акт в ЕР'!GZ236)</f>
        <v>0</v>
      </c>
    </row>
    <row r="15" spans="1:255" x14ac:dyDescent="0.2">
      <c r="A15">
        <v>999</v>
      </c>
      <c r="B15" t="s">
        <v>662</v>
      </c>
    </row>
    <row r="237" spans="57:68" x14ac:dyDescent="0.2">
      <c r="BE237">
        <f>SUMIF('2.Лок.смета.и.Акт в ЕР'!CV47:'2.Лок.смета.и.Акт в ЕР'!CV236,1,'2.Лок.смета.и.Акт в ЕР'!AV47:'2.Лок.смета.и.Акт в ЕР'!AV236)</f>
        <v>0</v>
      </c>
      <c r="BF237">
        <f>SUMIF('2.Лок.смета.и.Акт в ЕР'!CV47:'2.Лок.смета.и.Акт в ЕР'!CV236,2,'2.Лок.смета.и.Акт в ЕР'!AV47:'2.Лок.смета.и.Акт в ЕР'!AV236)</f>
        <v>0</v>
      </c>
      <c r="BG237">
        <f>SUMIF('2.Лок.смета.и.Акт в ЕР'!CV47:'2.Лок.смета.и.Акт в ЕР'!CV236,5,'2.Лок.смета.и.Акт в ЕР'!AV47:'2.Лок.смета.и.Акт в ЕР'!AV236)</f>
        <v>0</v>
      </c>
      <c r="BH237">
        <f>SUMIF('2.Лок.смета.и.Акт в ЕР'!CV47:'2.Лок.смета.и.Акт в ЕР'!CV236,4,'2.Лок.смета.и.Акт в ЕР'!AV47:'2.Лок.смета.и.Акт в ЕР'!AV236)</f>
        <v>0</v>
      </c>
      <c r="BI237">
        <f>SUMIF('2.Лок.смета.и.Акт в ЕР'!CV47:'2.Лок.смета.и.Акт в ЕР'!CV236,1,'2.Лок.смета.и.Акт в ЕР'!AW47:'2.Лок.смета.и.Акт в ЕР'!AW236)</f>
        <v>0</v>
      </c>
      <c r="BJ237">
        <f>SUMIF('2.Лок.смета.и.Акт в ЕР'!CV47:'2.Лок.смета.и.Акт в ЕР'!CV236,2,'2.Лок.смета.и.Акт в ЕР'!AW47:'2.Лок.смета.и.Акт в ЕР'!AW236)</f>
        <v>0</v>
      </c>
      <c r="BK237">
        <f>SUMIF('2.Лок.смета.и.Акт в ЕР'!CV47:'2.Лок.смета.и.Акт в ЕР'!CV236,5,'2.Лок.смета.и.Акт в ЕР'!AW47:'2.Лок.смета.и.Акт в ЕР'!AW236)</f>
        <v>0</v>
      </c>
      <c r="BL237">
        <f>SUMIF('2.Лок.смета.и.Акт в ЕР'!CV47:'2.Лок.смета.и.Акт в ЕР'!CV236,4,'2.Лок.смета.и.Акт в ЕР'!AW47:'2.Лок.смета.и.Акт в ЕР'!AW236)</f>
        <v>0</v>
      </c>
      <c r="BM237">
        <f>SUMIF('2.Лок.смета.и.Акт в ЕР'!CV47:'2.Лок.смета.и.Акт в ЕР'!CV236,1,'2.Лок.смета.и.Акт в ЕР'!AX47:'2.Лок.смета.и.Акт в ЕР'!AX236)</f>
        <v>0</v>
      </c>
      <c r="BN237">
        <f>SUMIF('2.Лок.смета.и.Акт в ЕР'!CV47:'2.Лок.смета.и.Акт в ЕР'!CV236,2,'2.Лок.смета.и.Акт в ЕР'!AX47:'2.Лок.смета.и.Акт в ЕР'!AX236)</f>
        <v>0</v>
      </c>
      <c r="BO237">
        <f>SUMIF('2.Лок.смета.и.Акт в ЕР'!CV47:'2.Лок.смета.и.Акт в ЕР'!CV236,5,'2.Лок.смета.и.Акт в ЕР'!AX47:'2.Лок.смета.и.Акт в ЕР'!AX236)</f>
        <v>0</v>
      </c>
      <c r="BP237">
        <f>SUMIF('2.Лок.смета.и.Акт в ЕР'!CV47:'2.Лок.смета.и.Акт в ЕР'!CV236,4,'2.Лок.смета.и.Акт в ЕР'!AX47:'2.Лок.смета.и.Акт в ЕР'!AX236)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54"/>
  <sheetViews>
    <sheetView tabSelected="1" topLeftCell="A28" zoomScaleNormal="100" workbookViewId="0">
      <selection activeCell="C45" sqref="C45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0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ht="24" outlineLevel="1" x14ac:dyDescent="0.2">
      <c r="A1" s="19" t="s">
        <v>538</v>
      </c>
      <c r="C1" s="246" t="s">
        <v>4</v>
      </c>
      <c r="D1" s="246"/>
      <c r="E1" s="246"/>
      <c r="F1" s="246"/>
      <c r="G1" s="246"/>
      <c r="H1" s="246"/>
      <c r="I1" s="246"/>
      <c r="J1" s="246"/>
      <c r="K1" s="246"/>
      <c r="BT1" s="41" t="str">
        <f>C1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1" s="21"/>
    </row>
    <row r="2" spans="1:255" ht="24" outlineLevel="1" x14ac:dyDescent="0.2">
      <c r="A2" s="19" t="s">
        <v>539</v>
      </c>
      <c r="C2" s="246" t="s">
        <v>4</v>
      </c>
      <c r="D2" s="246"/>
      <c r="E2" s="246"/>
      <c r="F2" s="246"/>
      <c r="G2" s="246"/>
      <c r="H2" s="246"/>
      <c r="I2" s="246"/>
      <c r="J2" s="246"/>
      <c r="K2" s="246"/>
      <c r="BT2" s="41" t="str">
        <f>C2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IU2" s="21"/>
    </row>
    <row r="3" spans="1:255" outlineLevel="1" x14ac:dyDescent="0.2">
      <c r="A3" s="19" t="s">
        <v>540</v>
      </c>
      <c r="C3" s="266" t="s">
        <v>558</v>
      </c>
      <c r="D3" s="246"/>
      <c r="E3" s="246"/>
      <c r="F3" s="246"/>
      <c r="G3" s="246"/>
      <c r="H3" s="246"/>
      <c r="I3" s="246"/>
      <c r="J3" s="246"/>
      <c r="K3" s="246"/>
      <c r="BT3" s="42" t="str">
        <f>C3</f>
        <v xml:space="preserve"> 6.3.5   Устройство внутриплощ. наружных сетей ливневой канализации П </v>
      </c>
      <c r="IU3" s="21"/>
    </row>
    <row r="4" spans="1:255" outlineLevel="1" x14ac:dyDescent="0.2"/>
    <row r="5" spans="1:255" ht="18.75" outlineLevel="1" x14ac:dyDescent="0.3">
      <c r="A5" s="241" t="s">
        <v>724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</row>
    <row r="6" spans="1:255" outlineLevel="1" x14ac:dyDescent="0.2">
      <c r="A6" s="253" t="s">
        <v>15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BV6" s="24" t="str">
        <f>A6</f>
        <v>Наружные сети ливневой канализации К-2</v>
      </c>
      <c r="IU6" s="21"/>
    </row>
    <row r="7" spans="1:255" ht="13.5" outlineLevel="1" thickBot="1" x14ac:dyDescent="0.25">
      <c r="A7" s="19" t="s">
        <v>560</v>
      </c>
      <c r="C7" s="246"/>
      <c r="D7" s="246"/>
      <c r="E7" s="246"/>
      <c r="F7" s="246"/>
      <c r="G7" s="246"/>
      <c r="H7" s="246"/>
      <c r="I7" s="246"/>
      <c r="J7" s="246"/>
      <c r="K7" s="246"/>
      <c r="BT7" s="41"/>
      <c r="IU7" s="21"/>
    </row>
    <row r="8" spans="1:255" ht="12.75" customHeight="1" x14ac:dyDescent="0.2">
      <c r="A8" s="247" t="s">
        <v>568</v>
      </c>
      <c r="B8" s="249" t="s">
        <v>569</v>
      </c>
      <c r="C8" s="249" t="s">
        <v>570</v>
      </c>
      <c r="D8" s="249" t="s">
        <v>571</v>
      </c>
      <c r="E8" s="249" t="s">
        <v>572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</row>
    <row r="9" spans="1:255" x14ac:dyDescent="0.2">
      <c r="A9" s="248"/>
      <c r="B9" s="250"/>
      <c r="C9" s="250"/>
      <c r="D9" s="250"/>
      <c r="E9" s="250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</row>
    <row r="10" spans="1:255" x14ac:dyDescent="0.2">
      <c r="A10" s="248"/>
      <c r="B10" s="250"/>
      <c r="C10" s="250"/>
      <c r="D10" s="250"/>
      <c r="E10" s="25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</row>
    <row r="11" spans="1:255" ht="13.5" thickBot="1" x14ac:dyDescent="0.25">
      <c r="A11" s="248"/>
      <c r="B11" s="250"/>
      <c r="C11" s="250"/>
      <c r="D11" s="250"/>
      <c r="E11" s="250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</row>
    <row r="12" spans="1:255" ht="13.5" thickBot="1" x14ac:dyDescent="0.25">
      <c r="A12" s="46">
        <v>1</v>
      </c>
      <c r="B12" s="46">
        <v>2</v>
      </c>
      <c r="C12" s="46">
        <v>3</v>
      </c>
      <c r="D12" s="46">
        <v>4</v>
      </c>
      <c r="E12" s="46">
        <v>5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</row>
    <row r="13" spans="1:255" ht="59.25" x14ac:dyDescent="0.2">
      <c r="A13" s="47">
        <v>1</v>
      </c>
      <c r="B13" s="53" t="s">
        <v>17</v>
      </c>
      <c r="C13" s="48" t="s">
        <v>577</v>
      </c>
      <c r="D13" s="49" t="s">
        <v>19</v>
      </c>
      <c r="E13" s="50">
        <v>1.3260000000000001</v>
      </c>
      <c r="F13" s="21"/>
      <c r="G13" s="21"/>
      <c r="H13" s="21"/>
      <c r="I13" s="21"/>
      <c r="J13" s="21"/>
    </row>
    <row r="14" spans="1:255" ht="48" x14ac:dyDescent="0.2">
      <c r="A14" s="91">
        <v>2</v>
      </c>
      <c r="B14" s="97" t="s">
        <v>17</v>
      </c>
      <c r="C14" s="92" t="s">
        <v>39</v>
      </c>
      <c r="D14" s="93" t="s">
        <v>19</v>
      </c>
      <c r="E14" s="94">
        <v>1.3260000000000001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</row>
    <row r="15" spans="1:255" ht="48" x14ac:dyDescent="0.2">
      <c r="A15" s="91">
        <v>3</v>
      </c>
      <c r="B15" s="97" t="s">
        <v>42</v>
      </c>
      <c r="C15" s="92" t="s">
        <v>43</v>
      </c>
      <c r="D15" s="93" t="s">
        <v>44</v>
      </c>
      <c r="E15" s="94">
        <v>2320.5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</row>
    <row r="16" spans="1:255" ht="47.25" x14ac:dyDescent="0.2">
      <c r="A16" s="91">
        <v>5</v>
      </c>
      <c r="B16" s="97" t="s">
        <v>56</v>
      </c>
      <c r="C16" s="92" t="s">
        <v>589</v>
      </c>
      <c r="D16" s="93" t="s">
        <v>58</v>
      </c>
      <c r="E16" s="94">
        <v>0.254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</row>
    <row r="17" spans="1:249" ht="24" x14ac:dyDescent="0.2">
      <c r="A17" s="91">
        <v>6</v>
      </c>
      <c r="B17" s="97" t="s">
        <v>66</v>
      </c>
      <c r="C17" s="92" t="s">
        <v>67</v>
      </c>
      <c r="D17" s="93" t="s">
        <v>68</v>
      </c>
      <c r="E17" s="94">
        <v>5.0999999999999996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</row>
    <row r="18" spans="1:249" ht="36" x14ac:dyDescent="0.2">
      <c r="A18" s="91">
        <v>7</v>
      </c>
      <c r="B18" s="97" t="s">
        <v>79</v>
      </c>
      <c r="C18" s="92" t="s">
        <v>80</v>
      </c>
      <c r="D18" s="93" t="s">
        <v>81</v>
      </c>
      <c r="E18" s="94">
        <v>4.42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</row>
    <row r="19" spans="1:249" ht="36" x14ac:dyDescent="0.2">
      <c r="A19" s="115" t="s">
        <v>83</v>
      </c>
      <c r="B19" s="116" t="s">
        <v>84</v>
      </c>
      <c r="C19" s="117" t="s">
        <v>85</v>
      </c>
      <c r="D19" s="118" t="s">
        <v>86</v>
      </c>
      <c r="E19" s="119">
        <f>Source!I35</f>
        <v>442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</row>
    <row r="20" spans="1:249" ht="36" x14ac:dyDescent="0.2">
      <c r="A20" s="91">
        <v>8</v>
      </c>
      <c r="B20" s="97" t="s">
        <v>93</v>
      </c>
      <c r="C20" s="92" t="s">
        <v>94</v>
      </c>
      <c r="D20" s="93" t="s">
        <v>68</v>
      </c>
      <c r="E20" s="94">
        <v>1.95</v>
      </c>
      <c r="F20" s="21"/>
      <c r="G20" s="21"/>
      <c r="H20" s="21"/>
      <c r="I20" s="21"/>
      <c r="J20" s="21"/>
    </row>
    <row r="21" spans="1:249" ht="24" x14ac:dyDescent="0.2">
      <c r="A21" s="115" t="s">
        <v>96</v>
      </c>
      <c r="B21" s="116" t="s">
        <v>97</v>
      </c>
      <c r="C21" s="117" t="s">
        <v>98</v>
      </c>
      <c r="D21" s="118" t="s">
        <v>99</v>
      </c>
      <c r="E21" s="119">
        <f>Source!I37</f>
        <v>15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</row>
    <row r="22" spans="1:249" ht="24" x14ac:dyDescent="0.2">
      <c r="A22" s="115" t="s">
        <v>101</v>
      </c>
      <c r="B22" s="116" t="s">
        <v>102</v>
      </c>
      <c r="C22" s="117" t="s">
        <v>103</v>
      </c>
      <c r="D22" s="118" t="s">
        <v>33</v>
      </c>
      <c r="E22" s="119">
        <f>Source!I38</f>
        <v>-7.9949999999999992</v>
      </c>
      <c r="F22" s="21"/>
      <c r="G22" s="21"/>
      <c r="H22" s="21"/>
      <c r="I22" s="21"/>
      <c r="J22" s="21"/>
    </row>
    <row r="23" spans="1:249" ht="24" x14ac:dyDescent="0.2">
      <c r="A23" s="115" t="s">
        <v>105</v>
      </c>
      <c r="B23" s="116" t="s">
        <v>102</v>
      </c>
      <c r="C23" s="117" t="s">
        <v>103</v>
      </c>
      <c r="D23" s="118" t="s">
        <v>33</v>
      </c>
      <c r="E23" s="119">
        <f>Source!I39</f>
        <v>7.77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249" ht="36" x14ac:dyDescent="0.2">
      <c r="A24" s="115" t="s">
        <v>106</v>
      </c>
      <c r="B24" s="116" t="s">
        <v>107</v>
      </c>
      <c r="C24" s="117" t="s">
        <v>108</v>
      </c>
      <c r="D24" s="118" t="s">
        <v>99</v>
      </c>
      <c r="E24" s="119">
        <f>Source!I40</f>
        <v>15</v>
      </c>
      <c r="F24" s="21"/>
      <c r="G24" s="21"/>
      <c r="H24" s="21"/>
      <c r="I24" s="21"/>
      <c r="J24" s="21"/>
    </row>
    <row r="25" spans="1:249" ht="36" x14ac:dyDescent="0.2">
      <c r="A25" s="115" t="s">
        <v>110</v>
      </c>
      <c r="B25" s="116" t="s">
        <v>111</v>
      </c>
      <c r="C25" s="117" t="s">
        <v>112</v>
      </c>
      <c r="D25" s="118" t="s">
        <v>99</v>
      </c>
      <c r="E25" s="119">
        <f>Source!I41</f>
        <v>15</v>
      </c>
      <c r="F25" s="21"/>
      <c r="G25" s="21"/>
      <c r="H25" s="21"/>
      <c r="I25" s="21"/>
      <c r="J25" s="21"/>
    </row>
    <row r="26" spans="1:249" ht="24" x14ac:dyDescent="0.2">
      <c r="A26" s="115" t="s">
        <v>114</v>
      </c>
      <c r="B26" s="116" t="s">
        <v>115</v>
      </c>
      <c r="C26" s="117" t="s">
        <v>116</v>
      </c>
      <c r="D26" s="118" t="s">
        <v>99</v>
      </c>
      <c r="E26" s="119">
        <f>Source!I42</f>
        <v>15</v>
      </c>
      <c r="F26" s="21"/>
      <c r="G26" s="21"/>
      <c r="H26" s="21"/>
      <c r="I26" s="21"/>
      <c r="J26" s="21"/>
    </row>
    <row r="27" spans="1:249" ht="36" x14ac:dyDescent="0.2">
      <c r="A27" s="115" t="s">
        <v>118</v>
      </c>
      <c r="B27" s="116" t="s">
        <v>119</v>
      </c>
      <c r="C27" s="117" t="s">
        <v>120</v>
      </c>
      <c r="D27" s="118" t="s">
        <v>99</v>
      </c>
      <c r="E27" s="119">
        <f>Source!I43</f>
        <v>15</v>
      </c>
      <c r="F27" s="21"/>
      <c r="G27" s="21"/>
      <c r="H27" s="21"/>
      <c r="I27" s="21"/>
      <c r="J27" s="21"/>
    </row>
    <row r="28" spans="1:249" ht="24" x14ac:dyDescent="0.2">
      <c r="A28" s="115" t="s">
        <v>122</v>
      </c>
      <c r="B28" s="116" t="s">
        <v>123</v>
      </c>
      <c r="C28" s="117" t="s">
        <v>124</v>
      </c>
      <c r="D28" s="118" t="s">
        <v>99</v>
      </c>
      <c r="E28" s="119">
        <f>Source!I44</f>
        <v>15</v>
      </c>
      <c r="F28" s="21"/>
      <c r="G28" s="21"/>
      <c r="H28" s="21"/>
      <c r="I28" s="21"/>
      <c r="J28" s="21"/>
    </row>
    <row r="29" spans="1:249" ht="24" x14ac:dyDescent="0.2">
      <c r="A29" s="115" t="s">
        <v>126</v>
      </c>
      <c r="B29" s="116" t="s">
        <v>127</v>
      </c>
      <c r="C29" s="117" t="s">
        <v>128</v>
      </c>
      <c r="D29" s="118" t="s">
        <v>129</v>
      </c>
      <c r="E29" s="119">
        <f>Source!I45</f>
        <v>0.183</v>
      </c>
      <c r="F29" s="21"/>
      <c r="G29" s="21"/>
      <c r="H29" s="21"/>
      <c r="I29" s="21"/>
      <c r="J29" s="21"/>
    </row>
    <row r="30" spans="1:249" ht="24" x14ac:dyDescent="0.2">
      <c r="A30" s="115" t="s">
        <v>131</v>
      </c>
      <c r="B30" s="116" t="s">
        <v>132</v>
      </c>
      <c r="C30" s="117" t="s">
        <v>133</v>
      </c>
      <c r="D30" s="118" t="s">
        <v>99</v>
      </c>
      <c r="E30" s="119">
        <f>Source!I46</f>
        <v>15</v>
      </c>
      <c r="F30" s="21"/>
      <c r="G30" s="21"/>
      <c r="H30" s="21"/>
      <c r="I30" s="21"/>
      <c r="J30" s="21"/>
    </row>
    <row r="31" spans="1:249" ht="36" x14ac:dyDescent="0.2">
      <c r="A31" s="91">
        <v>9</v>
      </c>
      <c r="B31" s="97" t="s">
        <v>138</v>
      </c>
      <c r="C31" s="92" t="s">
        <v>139</v>
      </c>
      <c r="D31" s="93" t="s">
        <v>68</v>
      </c>
      <c r="E31" s="94">
        <v>0.34</v>
      </c>
      <c r="F31" s="21"/>
      <c r="G31" s="21"/>
      <c r="H31" s="21"/>
      <c r="I31" s="21"/>
      <c r="J31" s="21"/>
    </row>
    <row r="32" spans="1:249" ht="36" x14ac:dyDescent="0.2">
      <c r="A32" s="115" t="s">
        <v>141</v>
      </c>
      <c r="B32" s="116" t="s">
        <v>142</v>
      </c>
      <c r="C32" s="117" t="s">
        <v>143</v>
      </c>
      <c r="D32" s="118" t="s">
        <v>99</v>
      </c>
      <c r="E32" s="119">
        <f>Source!I48</f>
        <v>1</v>
      </c>
      <c r="F32" s="21"/>
      <c r="G32" s="21"/>
      <c r="H32" s="21"/>
      <c r="I32" s="21"/>
      <c r="J32" s="21"/>
    </row>
    <row r="33" spans="1:10" ht="36" x14ac:dyDescent="0.2">
      <c r="A33" s="115" t="s">
        <v>145</v>
      </c>
      <c r="B33" s="116" t="s">
        <v>146</v>
      </c>
      <c r="C33" s="117" t="s">
        <v>147</v>
      </c>
      <c r="D33" s="118" t="s">
        <v>99</v>
      </c>
      <c r="E33" s="119">
        <f>Source!I49</f>
        <v>2</v>
      </c>
      <c r="F33" s="21"/>
      <c r="G33" s="21"/>
      <c r="H33" s="21"/>
      <c r="I33" s="21"/>
      <c r="J33" s="21"/>
    </row>
    <row r="34" spans="1:10" ht="24" x14ac:dyDescent="0.2">
      <c r="A34" s="115" t="s">
        <v>149</v>
      </c>
      <c r="B34" s="116" t="s">
        <v>150</v>
      </c>
      <c r="C34" s="117" t="s">
        <v>151</v>
      </c>
      <c r="D34" s="118" t="s">
        <v>99</v>
      </c>
      <c r="E34" s="119">
        <f>Source!I50</f>
        <v>1</v>
      </c>
      <c r="F34" s="21"/>
      <c r="G34" s="21"/>
      <c r="H34" s="21"/>
      <c r="I34" s="21"/>
      <c r="J34" s="21"/>
    </row>
    <row r="35" spans="1:10" ht="24" x14ac:dyDescent="0.2">
      <c r="A35" s="115" t="s">
        <v>153</v>
      </c>
      <c r="B35" s="116" t="s">
        <v>115</v>
      </c>
      <c r="C35" s="117" t="s">
        <v>116</v>
      </c>
      <c r="D35" s="118" t="s">
        <v>99</v>
      </c>
      <c r="E35" s="119">
        <f>Source!I51</f>
        <v>1</v>
      </c>
      <c r="F35" s="21"/>
      <c r="G35" s="21"/>
      <c r="H35" s="21"/>
      <c r="I35" s="21"/>
      <c r="J35" s="21"/>
    </row>
    <row r="36" spans="1:10" x14ac:dyDescent="0.2">
      <c r="A36" s="115" t="s">
        <v>154</v>
      </c>
      <c r="B36" s="116" t="s">
        <v>155</v>
      </c>
      <c r="C36" s="117" t="s">
        <v>156</v>
      </c>
      <c r="D36" s="118" t="s">
        <v>33</v>
      </c>
      <c r="E36" s="119">
        <f>Source!I52</f>
        <v>0.154</v>
      </c>
      <c r="F36" s="21"/>
      <c r="G36" s="21"/>
      <c r="H36" s="21"/>
      <c r="I36" s="21"/>
      <c r="J36" s="21"/>
    </row>
    <row r="37" spans="1:10" ht="24" x14ac:dyDescent="0.2">
      <c r="A37" s="115" t="s">
        <v>158</v>
      </c>
      <c r="B37" s="116" t="s">
        <v>127</v>
      </c>
      <c r="C37" s="117" t="s">
        <v>128</v>
      </c>
      <c r="D37" s="118" t="s">
        <v>129</v>
      </c>
      <c r="E37" s="119">
        <f>Source!I53</f>
        <v>1.6199999999999999E-2</v>
      </c>
      <c r="F37" s="21"/>
      <c r="G37" s="21"/>
      <c r="H37" s="21"/>
      <c r="I37" s="21"/>
      <c r="J37" s="21"/>
    </row>
    <row r="38" spans="1:10" ht="24" x14ac:dyDescent="0.2">
      <c r="A38" s="77" t="s">
        <v>159</v>
      </c>
      <c r="B38" s="83" t="s">
        <v>132</v>
      </c>
      <c r="C38" s="78" t="s">
        <v>133</v>
      </c>
      <c r="D38" s="79" t="s">
        <v>99</v>
      </c>
      <c r="E38" s="80">
        <f>Source!I54</f>
        <v>1</v>
      </c>
      <c r="F38" s="21"/>
      <c r="G38" s="21"/>
      <c r="H38" s="21"/>
      <c r="I38" s="21"/>
      <c r="J38" s="21"/>
    </row>
    <row r="39" spans="1:10" ht="24" x14ac:dyDescent="0.2">
      <c r="A39" s="115" t="s">
        <v>160</v>
      </c>
      <c r="B39" s="116" t="s">
        <v>102</v>
      </c>
      <c r="C39" s="117" t="s">
        <v>103</v>
      </c>
      <c r="D39" s="118" t="s">
        <v>33</v>
      </c>
      <c r="E39" s="119">
        <f>Source!I55</f>
        <v>-1.7680000000000002</v>
      </c>
      <c r="F39" s="21"/>
      <c r="G39" s="21"/>
      <c r="H39" s="21"/>
      <c r="I39" s="21"/>
      <c r="J39" s="21"/>
    </row>
    <row r="40" spans="1:10" ht="24" x14ac:dyDescent="0.2">
      <c r="A40" s="77" t="s">
        <v>161</v>
      </c>
      <c r="B40" s="83" t="s">
        <v>102</v>
      </c>
      <c r="C40" s="78" t="s">
        <v>103</v>
      </c>
      <c r="D40" s="79" t="s">
        <v>33</v>
      </c>
      <c r="E40" s="80">
        <f>Source!I56</f>
        <v>1.7679999999999998</v>
      </c>
      <c r="F40" s="21"/>
      <c r="G40" s="21"/>
      <c r="H40" s="21"/>
      <c r="I40" s="21"/>
      <c r="J40" s="21"/>
    </row>
    <row r="41" spans="1:10" ht="48" x14ac:dyDescent="0.2">
      <c r="A41" s="91">
        <v>10</v>
      </c>
      <c r="B41" s="97" t="s">
        <v>163</v>
      </c>
      <c r="C41" s="92" t="s">
        <v>164</v>
      </c>
      <c r="D41" s="93" t="s">
        <v>68</v>
      </c>
      <c r="E41" s="94">
        <v>0.78</v>
      </c>
      <c r="F41" s="21"/>
      <c r="G41" s="21"/>
      <c r="H41" s="21"/>
      <c r="I41" s="21"/>
      <c r="J41" s="21"/>
    </row>
    <row r="42" spans="1:10" ht="24" x14ac:dyDescent="0.2">
      <c r="A42" s="115" t="s">
        <v>166</v>
      </c>
      <c r="B42" s="116" t="s">
        <v>97</v>
      </c>
      <c r="C42" s="117" t="s">
        <v>98</v>
      </c>
      <c r="D42" s="118" t="s">
        <v>99</v>
      </c>
      <c r="E42" s="119">
        <f>Source!I58</f>
        <v>11</v>
      </c>
      <c r="F42" s="21"/>
      <c r="G42" s="21"/>
      <c r="H42" s="21"/>
      <c r="I42" s="21"/>
      <c r="J42" s="21"/>
    </row>
    <row r="43" spans="1:10" ht="36" x14ac:dyDescent="0.2">
      <c r="A43" s="115" t="s">
        <v>167</v>
      </c>
      <c r="B43" s="116" t="s">
        <v>168</v>
      </c>
      <c r="C43" s="117" t="s">
        <v>169</v>
      </c>
      <c r="D43" s="118" t="s">
        <v>99</v>
      </c>
      <c r="E43" s="119">
        <f>Source!I59</f>
        <v>11</v>
      </c>
      <c r="F43" s="21"/>
      <c r="G43" s="21"/>
      <c r="H43" s="21"/>
      <c r="I43" s="21"/>
      <c r="J43" s="21"/>
    </row>
    <row r="44" spans="1:10" ht="24" x14ac:dyDescent="0.2">
      <c r="A44" s="115" t="s">
        <v>171</v>
      </c>
      <c r="B44" s="116" t="s">
        <v>172</v>
      </c>
      <c r="C44" s="117" t="s">
        <v>173</v>
      </c>
      <c r="D44" s="118" t="s">
        <v>33</v>
      </c>
      <c r="E44" s="119">
        <f>Source!I60</f>
        <v>0.99</v>
      </c>
      <c r="F44" s="21"/>
      <c r="G44" s="21"/>
      <c r="H44" s="21"/>
      <c r="I44" s="21"/>
      <c r="J44" s="21"/>
    </row>
    <row r="45" spans="1:10" ht="24" x14ac:dyDescent="0.2">
      <c r="A45" s="77" t="s">
        <v>175</v>
      </c>
      <c r="B45" s="83" t="s">
        <v>176</v>
      </c>
      <c r="C45" s="78" t="s">
        <v>177</v>
      </c>
      <c r="D45" s="79" t="s">
        <v>99</v>
      </c>
      <c r="E45" s="80">
        <f>Source!I61</f>
        <v>11</v>
      </c>
      <c r="F45" s="21"/>
      <c r="G45" s="21"/>
      <c r="H45" s="21"/>
      <c r="I45" s="21"/>
      <c r="J45" s="21"/>
    </row>
    <row r="46" spans="1:10" ht="24" x14ac:dyDescent="0.2">
      <c r="A46" s="115" t="s">
        <v>180</v>
      </c>
      <c r="B46" s="116" t="s">
        <v>102</v>
      </c>
      <c r="C46" s="117" t="s">
        <v>103</v>
      </c>
      <c r="D46" s="118" t="s">
        <v>33</v>
      </c>
      <c r="E46" s="119">
        <f>Source!I62</f>
        <v>-0.70199999999999996</v>
      </c>
      <c r="F46" s="21"/>
      <c r="G46" s="21"/>
      <c r="H46" s="21"/>
      <c r="I46" s="21"/>
      <c r="J46" s="21"/>
    </row>
    <row r="47" spans="1:10" ht="24" x14ac:dyDescent="0.2">
      <c r="A47" s="77" t="s">
        <v>181</v>
      </c>
      <c r="B47" s="83" t="s">
        <v>102</v>
      </c>
      <c r="C47" s="78" t="s">
        <v>103</v>
      </c>
      <c r="D47" s="79" t="s">
        <v>33</v>
      </c>
      <c r="E47" s="80">
        <f>Source!I63</f>
        <v>2.3650000000000002</v>
      </c>
      <c r="F47" s="21"/>
      <c r="G47" s="21"/>
      <c r="H47" s="21"/>
      <c r="I47" s="21"/>
      <c r="J47" s="21"/>
    </row>
    <row r="48" spans="1:10" ht="36" x14ac:dyDescent="0.2">
      <c r="A48" s="91">
        <v>11</v>
      </c>
      <c r="B48" s="97" t="s">
        <v>183</v>
      </c>
      <c r="C48" s="92" t="s">
        <v>184</v>
      </c>
      <c r="D48" s="93" t="s">
        <v>99</v>
      </c>
      <c r="E48" s="94">
        <v>1</v>
      </c>
      <c r="F48" s="21"/>
      <c r="G48" s="21"/>
      <c r="H48" s="21"/>
      <c r="I48" s="21"/>
      <c r="J48" s="21"/>
    </row>
    <row r="49" spans="1:255" x14ac:dyDescent="0.2">
      <c r="A49" s="115" t="s">
        <v>191</v>
      </c>
      <c r="B49" s="116" t="s">
        <v>84</v>
      </c>
      <c r="C49" s="117" t="s">
        <v>192</v>
      </c>
      <c r="D49" s="118" t="s">
        <v>193</v>
      </c>
      <c r="E49" s="119">
        <f>Source!I65</f>
        <v>1</v>
      </c>
      <c r="F49" s="21"/>
      <c r="G49" s="21"/>
      <c r="H49" s="21"/>
      <c r="I49" s="21"/>
      <c r="J49" s="21"/>
    </row>
    <row r="50" spans="1:255" ht="24" x14ac:dyDescent="0.2">
      <c r="A50" s="91">
        <v>12</v>
      </c>
      <c r="B50" s="97" t="s">
        <v>196</v>
      </c>
      <c r="C50" s="92" t="s">
        <v>197</v>
      </c>
      <c r="D50" s="93" t="s">
        <v>198</v>
      </c>
      <c r="E50" s="94">
        <v>0.442</v>
      </c>
      <c r="F50" s="21"/>
      <c r="G50" s="21"/>
      <c r="H50" s="21"/>
      <c r="I50" s="21"/>
      <c r="J50" s="21"/>
      <c r="K50" s="133"/>
    </row>
    <row r="51" spans="1:255" ht="24" x14ac:dyDescent="0.2">
      <c r="A51" s="91">
        <v>14</v>
      </c>
      <c r="B51" s="97" t="s">
        <v>206</v>
      </c>
      <c r="C51" s="92" t="s">
        <v>207</v>
      </c>
      <c r="D51" s="93" t="s">
        <v>58</v>
      </c>
      <c r="E51" s="94">
        <v>3.82</v>
      </c>
      <c r="F51" s="21"/>
      <c r="G51" s="21"/>
      <c r="H51" s="21"/>
      <c r="I51" s="21"/>
      <c r="J51" s="21"/>
    </row>
    <row r="52" spans="1:255" ht="36" x14ac:dyDescent="0.2">
      <c r="A52" s="77" t="s">
        <v>209</v>
      </c>
      <c r="B52" s="83" t="s">
        <v>75</v>
      </c>
      <c r="C52" s="78" t="s">
        <v>76</v>
      </c>
      <c r="D52" s="79" t="s">
        <v>33</v>
      </c>
      <c r="E52" s="80">
        <f>Source!I69</f>
        <v>420.2</v>
      </c>
      <c r="F52" s="21"/>
      <c r="G52" s="21"/>
      <c r="H52" s="21"/>
      <c r="I52" s="21"/>
      <c r="J52" s="21"/>
    </row>
    <row r="53" spans="1:255" ht="36" x14ac:dyDescent="0.2">
      <c r="A53" s="91">
        <v>15</v>
      </c>
      <c r="B53" s="97" t="s">
        <v>211</v>
      </c>
      <c r="C53" s="92" t="s">
        <v>212</v>
      </c>
      <c r="D53" s="93" t="s">
        <v>19</v>
      </c>
      <c r="E53" s="94">
        <v>1.5069999999999999</v>
      </c>
      <c r="F53" s="21"/>
      <c r="G53" s="21"/>
      <c r="H53" s="21"/>
      <c r="I53" s="21"/>
      <c r="J53" s="21"/>
      <c r="BY53" s="165"/>
      <c r="BZ53" s="165"/>
      <c r="IU53" s="21"/>
    </row>
    <row r="54" spans="1:255" ht="24" x14ac:dyDescent="0.2">
      <c r="A54" s="91">
        <v>16</v>
      </c>
      <c r="B54" s="97" t="s">
        <v>215</v>
      </c>
      <c r="C54" s="92" t="s">
        <v>216</v>
      </c>
      <c r="D54" s="93" t="s">
        <v>58</v>
      </c>
      <c r="E54" s="94">
        <v>15.07</v>
      </c>
      <c r="F54" s="21"/>
      <c r="G54" s="21"/>
      <c r="H54" s="21"/>
      <c r="I54" s="21"/>
      <c r="J54" s="21"/>
    </row>
  </sheetData>
  <mergeCells count="11">
    <mergeCell ref="C1:K1"/>
    <mergeCell ref="C2:K2"/>
    <mergeCell ref="C3:K3"/>
    <mergeCell ref="A5:K5"/>
    <mergeCell ref="A6:K6"/>
    <mergeCell ref="C7:K7"/>
    <mergeCell ref="A8:A11"/>
    <mergeCell ref="B8:B11"/>
    <mergeCell ref="C8:C11"/>
    <mergeCell ref="D8:D11"/>
    <mergeCell ref="E8:E11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7"/>
  <sheetViews>
    <sheetView workbookViewId="0"/>
  </sheetViews>
  <sheetFormatPr defaultRowHeight="12.75" x14ac:dyDescent="0.2"/>
  <sheetData>
    <row r="1" spans="1:255" x14ac:dyDescent="0.2">
      <c r="B1" t="s">
        <v>505</v>
      </c>
    </row>
    <row r="3" spans="1:255" x14ac:dyDescent="0.2">
      <c r="A3">
        <v>3</v>
      </c>
      <c r="B3" t="s">
        <v>506</v>
      </c>
    </row>
    <row r="4" spans="1:255" x14ac:dyDescent="0.2">
      <c r="A4">
        <v>2</v>
      </c>
      <c r="B4" t="s">
        <v>507</v>
      </c>
    </row>
    <row r="5" spans="1:255" x14ac:dyDescent="0.2">
      <c r="A5">
        <v>0</v>
      </c>
      <c r="B5" t="s">
        <v>508</v>
      </c>
    </row>
    <row r="6" spans="1:255" x14ac:dyDescent="0.2">
      <c r="A6">
        <v>1</v>
      </c>
      <c r="B6" t="s">
        <v>509</v>
      </c>
    </row>
    <row r="7" spans="1:255" x14ac:dyDescent="0.2">
      <c r="A7">
        <v>0</v>
      </c>
      <c r="B7" t="s">
        <v>510</v>
      </c>
    </row>
    <row r="8" spans="1:255" x14ac:dyDescent="0.2">
      <c r="A8">
        <v>2</v>
      </c>
      <c r="B8" t="s">
        <v>511</v>
      </c>
    </row>
    <row r="9" spans="1:255" x14ac:dyDescent="0.2">
      <c r="A9">
        <v>0</v>
      </c>
      <c r="B9" t="s">
        <v>512</v>
      </c>
    </row>
    <row r="13" spans="1:255" x14ac:dyDescent="0.2">
      <c r="A13">
        <v>3</v>
      </c>
      <c r="B13" t="s">
        <v>574</v>
      </c>
      <c r="D13" t="s">
        <v>575</v>
      </c>
      <c r="F13" t="s">
        <v>576</v>
      </c>
    </row>
    <row r="14" spans="1:255" x14ac:dyDescent="0.2">
      <c r="A14">
        <v>513</v>
      </c>
      <c r="B14" t="s">
        <v>596</v>
      </c>
      <c r="D14" t="s">
        <v>575</v>
      </c>
      <c r="F14" t="s">
        <v>576</v>
      </c>
      <c r="AY14" t="e">
        <f>SUM('1.Лок.смета.и.Акт'!#REF!:'1.Лок.смета.и.Акт'!AM22)</f>
        <v>#REF!</v>
      </c>
      <c r="AZ14" t="e">
        <f>SUM('1.Лок.смета.и.Акт'!#REF!:'1.Лок.смета.и.Акт'!AN22)</f>
        <v>#REF!</v>
      </c>
      <c r="BA14" t="e">
        <f>SUM('1.Лок.смета.и.Акт'!#REF!:'1.Лок.смета.и.Акт'!AO22)</f>
        <v>#REF!</v>
      </c>
      <c r="BB14" t="e">
        <f>SUM('1.Лок.смета.и.Акт'!#REF!:'1.Лок.смета.и.Акт'!AP22)</f>
        <v>#REF!</v>
      </c>
      <c r="BC14" t="e">
        <f>SUM('1.Лок.смета.и.Акт'!#REF!:'1.Лок.смета.и.Акт'!AQ22)</f>
        <v>#REF!</v>
      </c>
      <c r="BD14" t="e">
        <f>SUM('1.Лок.смета.и.Акт'!#REF!:'1.Лок.смета.и.Акт'!AR22)</f>
        <v>#REF!</v>
      </c>
      <c r="CW14">
        <f>Source!U73</f>
        <v>1298.145164</v>
      </c>
      <c r="CX14">
        <f>Source!V73</f>
        <v>227.79489799999999</v>
      </c>
      <c r="CY14" t="e">
        <f>Source!O73</f>
        <v>#REF!</v>
      </c>
      <c r="CZ14" t="e">
        <f>Source!S73</f>
        <v>#REF!</v>
      </c>
      <c r="DA14" t="e">
        <f>Source!Q73</f>
        <v>#REF!</v>
      </c>
      <c r="DB14" t="e">
        <f>Source!R73</f>
        <v>#REF!</v>
      </c>
      <c r="DC14" t="e">
        <f>Source!P73</f>
        <v>#REF!</v>
      </c>
      <c r="DD14">
        <f>Source!AO73</f>
        <v>0</v>
      </c>
      <c r="DE14" t="e">
        <f>Source!AV73</f>
        <v>#REF!</v>
      </c>
      <c r="DF14" t="e">
        <f>Source!AW73</f>
        <v>#REF!</v>
      </c>
      <c r="DG14">
        <f>Source!AX73</f>
        <v>0</v>
      </c>
      <c r="DH14" t="e">
        <f>Source!AY73</f>
        <v>#REF!</v>
      </c>
      <c r="DI14">
        <f>Source!AP73</f>
        <v>0</v>
      </c>
      <c r="DJ14">
        <f>Source!AQ73</f>
        <v>0</v>
      </c>
      <c r="DK14">
        <f>Source!AZ73</f>
        <v>0</v>
      </c>
      <c r="DL14">
        <f>Source!T73</f>
        <v>0</v>
      </c>
      <c r="DM14">
        <f>Source!W73</f>
        <v>0</v>
      </c>
      <c r="DN14" t="e">
        <f>Source!X73</f>
        <v>#REF!</v>
      </c>
      <c r="DO14" t="e">
        <f>Source!Y73</f>
        <v>#REF!</v>
      </c>
      <c r="DP14" t="e">
        <f>Source!AR73</f>
        <v>#REF!</v>
      </c>
      <c r="DQ14" t="e">
        <f>Source!AS73</f>
        <v>#REF!</v>
      </c>
      <c r="DR14" t="e">
        <f>Source!AT73</f>
        <v>#REF!</v>
      </c>
      <c r="DS14">
        <f>Source!AP73</f>
        <v>0</v>
      </c>
      <c r="DT14" t="e">
        <f>Source!AU73</f>
        <v>#REF!</v>
      </c>
      <c r="DU14" t="e">
        <f>Source!AS73+Source!AT73</f>
        <v>#REF!</v>
      </c>
      <c r="DW14">
        <f>Source!BA73</f>
        <v>0</v>
      </c>
      <c r="DX14">
        <f>Source!BB73</f>
        <v>0</v>
      </c>
      <c r="DY14">
        <f>Source!BC73</f>
        <v>0</v>
      </c>
      <c r="DZ14" t="e">
        <f>Source!BD73</f>
        <v>#REF!</v>
      </c>
      <c r="ET14">
        <f>Source!U73</f>
        <v>1298.145164</v>
      </c>
      <c r="EU14">
        <f>Source!V73</f>
        <v>227.79489799999999</v>
      </c>
      <c r="EV14" t="e">
        <f>SUM('1.Лок.смета.и.Акт'!#REF!:'1.Лок.смета.и.Акт'!GD22)</f>
        <v>#REF!</v>
      </c>
      <c r="EW14" t="e">
        <f>SUM('1.Лок.смета.и.Акт'!#REF!:'1.Лок.смета.и.Акт'!GE22)</f>
        <v>#REF!</v>
      </c>
      <c r="EX14" t="e">
        <f>SUM('1.Лок.смета.и.Акт'!#REF!:'1.Лок.смета.и.Акт'!GF22)</f>
        <v>#REF!</v>
      </c>
      <c r="EY14" t="e">
        <f>SUM('1.Лок.смета.и.Акт'!#REF!:'1.Лок.смета.и.Акт'!GG22)</f>
        <v>#REF!</v>
      </c>
      <c r="EZ14" t="e">
        <f>SUM('1.Лок.смета.и.Акт'!#REF!:'1.Лок.смета.и.Акт'!GH22)</f>
        <v>#REF!</v>
      </c>
      <c r="FA14" t="e">
        <f>SUM('1.Лок.смета.и.Акт'!#REF!:'1.Лок.смета.и.Акт'!GI22)</f>
        <v>#REF!</v>
      </c>
      <c r="FB14" t="e">
        <f>SUM('1.Лок.смета.и.Акт'!#REF!:'1.Лок.смета.и.Акт'!GJ22)</f>
        <v>#REF!</v>
      </c>
      <c r="FC14" t="e">
        <f>SUM('1.Лок.смета.и.Акт'!#REF!:'1.Лок.смета.и.Акт'!GK22)</f>
        <v>#REF!</v>
      </c>
      <c r="FD14" t="e">
        <f>SUM('1.Лок.смета.и.Акт'!#REF!:'1.Лок.смета.и.Акт'!GL22)</f>
        <v>#REF!</v>
      </c>
      <c r="FE14" t="e">
        <f>SUM('1.Лок.смета.и.Акт'!#REF!:'1.Лок.смета.и.Акт'!GM22)</f>
        <v>#REF!</v>
      </c>
      <c r="FF14" t="e">
        <f>SUM('1.Лок.смета.и.Акт'!#REF!:'1.Лок.смета.и.Акт'!GN22)</f>
        <v>#REF!</v>
      </c>
      <c r="FG14" t="e">
        <f>SUM('1.Лок.смета.и.Акт'!#REF!:'1.Лок.смета.и.Акт'!GO22)</f>
        <v>#REF!</v>
      </c>
      <c r="FH14" t="e">
        <f>SUM('1.Лок.смета.и.Акт'!#REF!:'1.Лок.смета.и.Акт'!GP22)</f>
        <v>#REF!</v>
      </c>
      <c r="FI14" t="e">
        <f>SUM('1.Лок.смета.и.Акт'!#REF!:'1.Лок.смета.и.Акт'!GQ22)</f>
        <v>#REF!</v>
      </c>
      <c r="FJ14" t="e">
        <f>SUM('1.Лок.смета.и.Акт'!#REF!:'1.Лок.смета.и.Акт'!GR22)</f>
        <v>#REF!</v>
      </c>
      <c r="FK14" t="e">
        <f>SUM('1.Лок.смета.и.Акт'!#REF!:'1.Лок.смета.и.Акт'!GS22)</f>
        <v>#REF!</v>
      </c>
      <c r="FL14" t="e">
        <f>SUM('1.Лок.смета.и.Акт'!#REF!:'1.Лок.смета.и.Акт'!GT22)</f>
        <v>#REF!</v>
      </c>
      <c r="FM14" t="e">
        <f>SUM('1.Лок.смета.и.Акт'!#REF!:'1.Лок.смета.и.Акт'!GU22)</f>
        <v>#REF!</v>
      </c>
      <c r="FN14" t="e">
        <f>SUM('1.Лок.смета.и.Акт'!#REF!:'1.Лок.смета.и.Акт'!GV22)</f>
        <v>#REF!</v>
      </c>
      <c r="FO14" t="e">
        <f>SUM('1.Лок.смета.и.Акт'!#REF!:'1.Лок.смета.и.Акт'!GW22)</f>
        <v>#REF!</v>
      </c>
      <c r="FP14" t="e">
        <f>SUM('1.Лок.смета.и.Акт'!#REF!:'1.Лок.смета.и.Акт'!GX22)</f>
        <v>#REF!</v>
      </c>
      <c r="FQ14" t="e">
        <f>SUM('1.Лок.смета.и.Акт'!#REF!:'1.Лок.смета.и.Акт'!GY22)</f>
        <v>#REF!</v>
      </c>
      <c r="FR14" t="e">
        <f>SUM('1.Лок.смета.и.Акт'!#REF!:'1.Лок.смета.и.Акт'!GV22)+SUM('1.Лок.смета.и.Акт'!#REF!:'1.Лок.смета.и.Акт'!GW22)</f>
        <v>#REF!</v>
      </c>
      <c r="FS14" t="e">
        <f>SUM('1.Лок.смета.и.Акт'!#REF!:'1.Лок.смета.и.Акт'!HA22)</f>
        <v>#REF!</v>
      </c>
      <c r="FT14" t="e">
        <f>SUM('1.Лок.смета.и.Акт'!#REF!:'1.Лок.смета.и.Акт'!HB22)</f>
        <v>#REF!</v>
      </c>
      <c r="FU14" t="e">
        <f>SUM('1.Лок.смета.и.Акт'!#REF!:'1.Лок.смета.и.Акт'!HC22)</f>
        <v>#REF!</v>
      </c>
      <c r="FV14" t="e">
        <f>SUM('1.Лок.смета.и.Акт'!#REF!:'1.Лок.смета.и.Акт'!HD22)</f>
        <v>#REF!</v>
      </c>
      <c r="FW14" t="e">
        <f>SUM('1.Лок.смета.и.Акт'!#REF!:'1.Лок.смета.и.Акт'!HE22)</f>
        <v>#REF!</v>
      </c>
      <c r="FX14" t="e">
        <f>SUMIF('1.Лок.смета.и.Акт'!#REF!:'1.Лок.смета.и.Акт'!CP22,1,'1.Лок.смета.и.Акт'!#REF!:'1.Лок.смета.и.Акт'!GE22)</f>
        <v>#REF!</v>
      </c>
      <c r="FY14" t="e">
        <f>SUMIF('1.Лок.смета.и.Акт'!#REF!:'1.Лок.смета.и.Акт'!CP22,2,'1.Лок.смета.и.Акт'!#REF!:'1.Лок.смета.и.Акт'!GE22)</f>
        <v>#REF!</v>
      </c>
      <c r="FZ14" t="e">
        <f>SUMIF('1.Лок.смета.и.Акт'!#REF!:'1.Лок.смета.и.Акт'!CP22,5,'1.Лок.смета.и.Акт'!#REF!:'1.Лок.смета.и.Акт'!GE22)</f>
        <v>#REF!</v>
      </c>
      <c r="GA14" t="e">
        <f>SUMIF('1.Лок.смета.и.Акт'!#REF!:'1.Лок.смета.и.Акт'!CP22,4,'1.Лок.смета.и.Акт'!#REF!:'1.Лок.смета.и.Акт'!GE22)</f>
        <v>#REF!</v>
      </c>
      <c r="GB14" t="e">
        <f>SUMIF('1.Лок.смета.и.Акт'!#REF!:'1.Лок.смета.и.Акт'!CP22,1,'1.Лок.смета.и.Акт'!#REF!:'1.Лок.смета.и.Акт'!GF22)</f>
        <v>#REF!</v>
      </c>
      <c r="GC14" t="e">
        <f>SUMIF('1.Лок.смета.и.Акт'!#REF!:'1.Лок.смета.и.Акт'!CP22,2,'1.Лок.смета.и.Акт'!#REF!:'1.Лок.смета.и.Акт'!GF22)</f>
        <v>#REF!</v>
      </c>
      <c r="GD14" t="e">
        <f>SUMIF('1.Лок.смета.и.Акт'!#REF!:'1.Лок.смета.и.Акт'!CP22,4,'1.Лок.смета.и.Акт'!#REF!:'1.Лок.смета.и.Акт'!GF22)</f>
        <v>#REF!</v>
      </c>
      <c r="GE14" t="e">
        <f>SUMIF('1.Лок.смета.и.Акт'!#REF!:'1.Лок.смета.и.Акт'!CP22,1,'1.Лок.смета.и.Акт'!#REF!:'1.Лок.смета.и.Акт'!GK22)</f>
        <v>#REF!</v>
      </c>
      <c r="GF14" t="e">
        <f>SUMIF('1.Лок.смета.и.Акт'!#REF!:'1.Лок.смета.и.Акт'!CP22,2,'1.Лок.смета.и.Акт'!#REF!:'1.Лок.смета.и.Акт'!GK22)</f>
        <v>#REF!</v>
      </c>
      <c r="GG14" t="e">
        <f>SUMIF('1.Лок.смета.и.Акт'!#REF!:'1.Лок.смета.и.Акт'!CP22,4,'1.Лок.смета.и.Акт'!#REF!:'1.Лок.смета.и.Акт'!GK22)</f>
        <v>#REF!</v>
      </c>
      <c r="IB14" t="e">
        <f>SUM('1.Лок.смета.и.Акт'!#REF!:'1.Лок.смета.и.Акт'!HI22)</f>
        <v>#REF!</v>
      </c>
      <c r="IC14" t="e">
        <f>SUM('1.Лок.смета.и.Акт'!#REF!:'1.Лок.смета.и.Акт'!HK22)</f>
        <v>#REF!</v>
      </c>
      <c r="ID14" t="e">
        <f>SUM('1.Лок.смета.и.Акт'!#REF!:'1.Лок.смета.и.Акт'!HM22)</f>
        <v>#REF!</v>
      </c>
      <c r="IE14" t="e">
        <f>SUM('1.Лок.смета.и.Акт'!#REF!:'1.Лок.смета.и.Акт'!HO22)</f>
        <v>#REF!</v>
      </c>
      <c r="IF14" t="e">
        <f>SUM('1.Лок.смета.и.Акт'!#REF!:'1.Лок.смета.и.Акт'!HS22)</f>
        <v>#REF!</v>
      </c>
      <c r="IG14" t="e">
        <f>SUM('1.Лок.смета.и.Акт'!#REF!:'1.Лок.смета.и.Акт'!HT22)</f>
        <v>#REF!</v>
      </c>
      <c r="IH14" t="e">
        <f>SUM('1.Лок.смета.и.Акт'!#REF!:'1.Лок.смета.и.Акт'!HF22)</f>
        <v>#REF!</v>
      </c>
      <c r="II14" t="e">
        <f>SUM('1.Лок.смета.и.Акт'!#REF!:'1.Лок.смета.и.Акт'!HH22)</f>
        <v>#REF!</v>
      </c>
      <c r="IJ14" t="e">
        <f>SUM('1.Лок.смета.и.Акт'!#REF!:'1.Лок.смета.и.Акт'!HJ22)</f>
        <v>#REF!</v>
      </c>
      <c r="IK14" t="e">
        <f>SUM('1.Лок.смета.и.Акт'!#REF!:'1.Лок.смета.и.Акт'!HL22)</f>
        <v>#REF!</v>
      </c>
      <c r="IL14" t="e">
        <f>SUM('1.Лок.смета.и.Акт'!#REF!:'1.Лок.смета.и.Акт'!HN22)</f>
        <v>#REF!</v>
      </c>
      <c r="IM14" t="e">
        <f>SUM('1.Лок.смета.и.Акт'!#REF!:'1.Лок.смета.и.Акт'!HQ22)</f>
        <v>#REF!</v>
      </c>
      <c r="IN14" t="e">
        <f>SUMIF('1.Лок.смета.и.Акт'!#REF!:'1.Лок.смета.и.Акт'!CP22,1,'1.Лок.смета.и.Акт'!#REF!:'1.Лок.смета.и.Акт'!GS22)</f>
        <v>#REF!</v>
      </c>
      <c r="IO14" t="e">
        <f>SUMIF('1.Лок.смета.и.Акт'!#REF!:'1.Лок.смета.и.Акт'!CP22,2,'1.Лок.смета.и.Акт'!#REF!:'1.Лок.смета.и.Акт'!GS22)</f>
        <v>#REF!</v>
      </c>
      <c r="IP14" t="e">
        <f>SUMIF('1.Лок.смета.и.Акт'!#REF!:'1.Лок.смета.и.Акт'!CP22,5,'1.Лок.смета.и.Акт'!#REF!:'1.Лок.смета.и.Акт'!GS22)</f>
        <v>#REF!</v>
      </c>
      <c r="IQ14" t="e">
        <f>SUMIF('1.Лок.смета.и.Акт'!#REF!:'1.Лок.смета.и.Акт'!CP22,4,'1.Лок.смета.и.Акт'!#REF!:'1.Лок.смета.и.Акт'!GS22)</f>
        <v>#REF!</v>
      </c>
      <c r="IR14" t="e">
        <f>SUMIF('1.Лок.смета.и.Акт'!#REF!:'1.Лок.смета.и.Акт'!CP22,1,'1.Лок.смета.и.Акт'!#REF!:'1.Лок.смета.и.Акт'!GT22)</f>
        <v>#REF!</v>
      </c>
      <c r="IS14" t="e">
        <f>SUMIF('1.Лок.смета.и.Акт'!#REF!:'1.Лок.смета.и.Акт'!CP22,2,'1.Лок.смета.и.Акт'!#REF!:'1.Лок.смета.и.Акт'!GT22)</f>
        <v>#REF!</v>
      </c>
      <c r="IT14" t="e">
        <f>SUMIF('1.Лок.смета.и.Акт'!#REF!:'1.Лок.смета.и.Акт'!CP22,5,'1.Лок.смета.и.Акт'!#REF!:'1.Лок.смета.и.Акт'!GT22)</f>
        <v>#REF!</v>
      </c>
      <c r="IU14" t="e">
        <f>SUMIF('1.Лок.смета.и.Акт'!#REF!:'1.Лок.смета.и.Акт'!CP22,4,'1.Лок.смета.и.Акт'!#REF!:'1.Лок.смета.и.Акт'!GT22)</f>
        <v>#REF!</v>
      </c>
    </row>
    <row r="15" spans="1:255" x14ac:dyDescent="0.2">
      <c r="A15">
        <v>999</v>
      </c>
      <c r="B15" t="s">
        <v>662</v>
      </c>
    </row>
    <row r="237" spans="57:68" x14ac:dyDescent="0.2">
      <c r="BE237" t="e">
        <f>SUMIF('1.Лок.смета.и.Акт'!#REF!:'1.Лок.смета.и.Акт'!CP22,1,'1.Лок.смета.и.Акт'!#REF!:'1.Лок.смета.и.Акт'!AP22)</f>
        <v>#REF!</v>
      </c>
      <c r="BF237" t="e">
        <f>SUMIF('1.Лок.смета.и.Акт'!#REF!:'1.Лок.смета.и.Акт'!CP22,2,'1.Лок.смета.и.Акт'!#REF!:'1.Лок.смета.и.Акт'!AP22)</f>
        <v>#REF!</v>
      </c>
      <c r="BG237" t="e">
        <f>SUMIF('1.Лок.смета.и.Акт'!#REF!:'1.Лок.смета.и.Акт'!CP22,5,'1.Лок.смета.и.Акт'!#REF!:'1.Лок.смета.и.Акт'!AP22)</f>
        <v>#REF!</v>
      </c>
      <c r="BH237" t="e">
        <f>SUMIF('1.Лок.смета.и.Акт'!#REF!:'1.Лок.смета.и.Акт'!CP22,4,'1.Лок.смета.и.Акт'!#REF!:'1.Лок.смета.и.Акт'!AP22)</f>
        <v>#REF!</v>
      </c>
      <c r="BI237" t="e">
        <f>SUMIF('1.Лок.смета.и.Акт'!#REF!:'1.Лок.смета.и.Акт'!CP22,1,'1.Лок.смета.и.Акт'!#REF!:'1.Лок.смета.и.Акт'!AQ22)</f>
        <v>#REF!</v>
      </c>
      <c r="BJ237" t="e">
        <f>SUMIF('1.Лок.смета.и.Акт'!#REF!:'1.Лок.смета.и.Акт'!CP22,2,'1.Лок.смета.и.Акт'!#REF!:'1.Лок.смета.и.Акт'!AQ22)</f>
        <v>#REF!</v>
      </c>
      <c r="BK237" t="e">
        <f>SUMIF('1.Лок.смета.и.Акт'!#REF!:'1.Лок.смета.и.Акт'!CP22,5,'1.Лок.смета.и.Акт'!#REF!:'1.Лок.смета.и.Акт'!AQ22)</f>
        <v>#REF!</v>
      </c>
      <c r="BL237" t="e">
        <f>SUMIF('1.Лок.смета.и.Акт'!#REF!:'1.Лок.смета.и.Акт'!CP22,4,'1.Лок.смета.и.Акт'!#REF!:'1.Лок.смета.и.Акт'!AQ22)</f>
        <v>#REF!</v>
      </c>
      <c r="BM237" t="e">
        <f>SUMIF('1.Лок.смета.и.Акт'!#REF!:'1.Лок.смета.и.Акт'!CP22,1,'1.Лок.смета.и.Акт'!#REF!:'1.Лок.смета.и.Акт'!AR22)</f>
        <v>#REF!</v>
      </c>
      <c r="BN237" t="e">
        <f>SUMIF('1.Лок.смета.и.Акт'!#REF!:'1.Лок.смета.и.Акт'!CP22,2,'1.Лок.смета.и.Акт'!#REF!:'1.Лок.смета.и.Акт'!AR22)</f>
        <v>#REF!</v>
      </c>
      <c r="BO237" t="e">
        <f>SUMIF('1.Лок.смета.и.Акт'!#REF!:'1.Лок.смета.и.Акт'!CP22,5,'1.Лок.смета.и.Акт'!#REF!:'1.Лок.смета.и.Акт'!AR22)</f>
        <v>#REF!</v>
      </c>
      <c r="BP237" t="e">
        <f>SUMIF('1.Лок.смета.и.Акт'!#REF!:'1.Лок.смета.и.Акт'!CP22,4,'1.Лок.смета.и.Акт'!#REF!:'1.Лок.смета.и.Акт'!AR22)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64"/>
  <sheetViews>
    <sheetView workbookViewId="0">
      <selection activeCell="A160" sqref="A160:AN160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28762</v>
      </c>
      <c r="M1">
        <v>66419001</v>
      </c>
      <c r="N1">
        <v>11</v>
      </c>
      <c r="O1">
        <v>11</v>
      </c>
      <c r="P1">
        <v>0</v>
      </c>
      <c r="Q1">
        <v>3</v>
      </c>
      <c r="IF1">
        <v>-1</v>
      </c>
    </row>
    <row r="2" spans="1:246" x14ac:dyDescent="0.2">
      <c r="IF2">
        <v>-1</v>
      </c>
      <c r="IK2" s="67">
        <f>'3.Материалы'!G68</f>
        <v>0</v>
      </c>
      <c r="IL2" t="s">
        <v>693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6</v>
      </c>
      <c r="IL5" t="s">
        <v>525</v>
      </c>
    </row>
    <row r="6" spans="1:246" x14ac:dyDescent="0.2">
      <c r="IF6">
        <v>-1</v>
      </c>
      <c r="IK6">
        <v>50</v>
      </c>
      <c r="IL6" t="s">
        <v>503</v>
      </c>
    </row>
    <row r="7" spans="1:246" x14ac:dyDescent="0.2">
      <c r="IF7">
        <v>-1</v>
      </c>
      <c r="IK7">
        <v>1</v>
      </c>
      <c r="IL7" t="s">
        <v>668</v>
      </c>
    </row>
    <row r="8" spans="1:246" x14ac:dyDescent="0.2">
      <c r="IF8">
        <v>-1</v>
      </c>
      <c r="IK8" t="e">
        <f>IF((Source!AR73&lt;&gt;'2.Лок.смета.и.Акт в ЕР'!P237),0,1)</f>
        <v>#REF!</v>
      </c>
      <c r="IL8" t="s">
        <v>597</v>
      </c>
    </row>
    <row r="9" spans="1:246" x14ac:dyDescent="0.2">
      <c r="IF9">
        <v>-1</v>
      </c>
      <c r="IK9" s="10" t="s">
        <v>664</v>
      </c>
      <c r="IL9" t="s">
        <v>504</v>
      </c>
    </row>
    <row r="10" spans="1:246" x14ac:dyDescent="0.2">
      <c r="IF10">
        <v>-1</v>
      </c>
      <c r="IK10">
        <v>2</v>
      </c>
      <c r="IL10" t="s">
        <v>501</v>
      </c>
    </row>
    <row r="11" spans="1:246" x14ac:dyDescent="0.2">
      <c r="IF11">
        <v>-1</v>
      </c>
      <c r="IK11" t="s">
        <v>663</v>
      </c>
      <c r="IL11" t="s">
        <v>502</v>
      </c>
    </row>
    <row r="12" spans="1:246" x14ac:dyDescent="0.2">
      <c r="A12" s="1">
        <v>1</v>
      </c>
      <c r="B12" s="1">
        <v>159</v>
      </c>
      <c r="C12" s="1">
        <v>0</v>
      </c>
      <c r="D12" s="1">
        <f>ROW(A103)</f>
        <v>103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131595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4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2</v>
      </c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489201672</v>
      </c>
      <c r="CI12" s="1" t="s">
        <v>6</v>
      </c>
      <c r="CJ12" s="1" t="s">
        <v>6</v>
      </c>
      <c r="CK12" s="1">
        <v>9</v>
      </c>
      <c r="CL12" s="1"/>
      <c r="CM12" s="1"/>
      <c r="CN12" s="1"/>
      <c r="CO12" s="1"/>
      <c r="CP12" s="1"/>
      <c r="CQ12" s="1" t="s">
        <v>499</v>
      </c>
      <c r="CR12" s="1" t="s">
        <v>13</v>
      </c>
      <c r="CS12" s="1">
        <v>44551</v>
      </c>
      <c r="CT12" s="1">
        <v>395</v>
      </c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47" x14ac:dyDescent="0.2">
      <c r="IF17">
        <v>-1</v>
      </c>
    </row>
    <row r="18" spans="1:247" x14ac:dyDescent="0.2">
      <c r="A18" s="2">
        <v>52</v>
      </c>
      <c r="B18" s="2">
        <f t="shared" ref="B18:G18" si="0">B103</f>
        <v>159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6.3.5   Устройство внутриплощ. наружных сетей ливневой канализации П</v>
      </c>
      <c r="G18" s="2" t="str">
        <f t="shared" si="0"/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H18" s="2"/>
      <c r="I18" s="2"/>
      <c r="J18" s="2"/>
      <c r="K18" s="2"/>
      <c r="L18" s="2"/>
      <c r="M18" s="2"/>
      <c r="N18" s="2"/>
      <c r="O18" s="2" t="e">
        <f t="shared" ref="O18:AT18" si="1">O103</f>
        <v>#REF!</v>
      </c>
      <c r="P18" s="2" t="e">
        <f t="shared" si="1"/>
        <v>#REF!</v>
      </c>
      <c r="Q18" s="2" t="e">
        <f t="shared" si="1"/>
        <v>#REF!</v>
      </c>
      <c r="R18" s="2" t="e">
        <f t="shared" si="1"/>
        <v>#REF!</v>
      </c>
      <c r="S18" s="2" t="e">
        <f t="shared" si="1"/>
        <v>#REF!</v>
      </c>
      <c r="T18" s="2">
        <f t="shared" si="1"/>
        <v>0</v>
      </c>
      <c r="U18" s="2">
        <f t="shared" si="1"/>
        <v>1298.145164</v>
      </c>
      <c r="V18" s="2">
        <f t="shared" si="1"/>
        <v>227.79489799999999</v>
      </c>
      <c r="W18" s="2">
        <f t="shared" si="1"/>
        <v>0</v>
      </c>
      <c r="X18" s="2" t="e">
        <f t="shared" si="1"/>
        <v>#REF!</v>
      </c>
      <c r="Y18" s="2" t="e">
        <f t="shared" si="1"/>
        <v>#REF!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 t="e">
        <f t="shared" si="1"/>
        <v>#REF!</v>
      </c>
      <c r="AS18" s="2" t="e">
        <f t="shared" si="1"/>
        <v>#REF!</v>
      </c>
      <c r="AT18" s="2" t="e">
        <f t="shared" si="1"/>
        <v>#REF!</v>
      </c>
      <c r="AU18" s="2" t="e">
        <f t="shared" ref="AU18:BZ18" si="2">AU103</f>
        <v>#REF!</v>
      </c>
      <c r="AV18" s="2" t="e">
        <f t="shared" si="2"/>
        <v>#REF!</v>
      </c>
      <c r="AW18" s="2" t="e">
        <f t="shared" si="2"/>
        <v>#REF!</v>
      </c>
      <c r="AX18" s="2">
        <f t="shared" si="2"/>
        <v>0</v>
      </c>
      <c r="AY18" s="2" t="e">
        <f t="shared" si="2"/>
        <v>#REF!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 t="e">
        <f t="shared" si="2"/>
        <v>#REF!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CA103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DG103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EM103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FS103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  <c r="IF18">
        <v>-1</v>
      </c>
    </row>
    <row r="19" spans="1:247" x14ac:dyDescent="0.2">
      <c r="IF19">
        <v>-1</v>
      </c>
    </row>
    <row r="20" spans="1:247" x14ac:dyDescent="0.2">
      <c r="A20" s="1">
        <v>3</v>
      </c>
      <c r="B20" s="1">
        <v>1</v>
      </c>
      <c r="C20" s="1"/>
      <c r="D20" s="1">
        <f>ROW(A73)</f>
        <v>73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14</v>
      </c>
      <c r="M20" s="1" t="s">
        <v>6</v>
      </c>
      <c r="N20" s="1"/>
      <c r="O20" s="1"/>
      <c r="P20" s="1"/>
      <c r="Q20" s="1"/>
      <c r="R20" s="1"/>
      <c r="S20" s="1">
        <v>0</v>
      </c>
      <c r="T20" s="1"/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47" x14ac:dyDescent="0.2">
      <c r="IF21">
        <v>-1</v>
      </c>
    </row>
    <row r="22" spans="1:247" x14ac:dyDescent="0.2">
      <c r="A22" s="2">
        <v>52</v>
      </c>
      <c r="B22" s="2">
        <f t="shared" ref="B22:G22" si="7">B73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6.3.5</v>
      </c>
      <c r="G22" s="2" t="str">
        <f t="shared" si="7"/>
        <v>Наружные сети ливневой канализации К-2</v>
      </c>
      <c r="H22" s="2"/>
      <c r="I22" s="2"/>
      <c r="J22" s="2"/>
      <c r="K22" s="2"/>
      <c r="L22" s="2"/>
      <c r="M22" s="2"/>
      <c r="N22" s="2"/>
      <c r="O22" s="2" t="e">
        <f t="shared" ref="O22:AT22" si="8">O73</f>
        <v>#REF!</v>
      </c>
      <c r="P22" s="2" t="e">
        <f t="shared" si="8"/>
        <v>#REF!</v>
      </c>
      <c r="Q22" s="2" t="e">
        <f t="shared" si="8"/>
        <v>#REF!</v>
      </c>
      <c r="R22" s="2" t="e">
        <f t="shared" si="8"/>
        <v>#REF!</v>
      </c>
      <c r="S22" s="2" t="e">
        <f t="shared" si="8"/>
        <v>#REF!</v>
      </c>
      <c r="T22" s="2">
        <f t="shared" si="8"/>
        <v>0</v>
      </c>
      <c r="U22" s="2">
        <f t="shared" si="8"/>
        <v>1298.145164</v>
      </c>
      <c r="V22" s="2">
        <f t="shared" si="8"/>
        <v>227.79489799999999</v>
      </c>
      <c r="W22" s="2">
        <f t="shared" si="8"/>
        <v>0</v>
      </c>
      <c r="X22" s="2" t="e">
        <f t="shared" si="8"/>
        <v>#REF!</v>
      </c>
      <c r="Y22" s="2" t="e">
        <f t="shared" si="8"/>
        <v>#REF!</v>
      </c>
      <c r="Z22" s="2">
        <f t="shared" si="8"/>
        <v>0</v>
      </c>
      <c r="AA22" s="2">
        <f t="shared" si="8"/>
        <v>0</v>
      </c>
      <c r="AB22" s="2" t="e">
        <f t="shared" si="8"/>
        <v>#REF!</v>
      </c>
      <c r="AC22" s="2" t="e">
        <f t="shared" si="8"/>
        <v>#REF!</v>
      </c>
      <c r="AD22" s="2" t="e">
        <f t="shared" si="8"/>
        <v>#REF!</v>
      </c>
      <c r="AE22" s="2" t="e">
        <f t="shared" si="8"/>
        <v>#REF!</v>
      </c>
      <c r="AF22" s="2" t="e">
        <f t="shared" si="8"/>
        <v>#REF!</v>
      </c>
      <c r="AG22" s="2">
        <f t="shared" si="8"/>
        <v>0</v>
      </c>
      <c r="AH22" s="2">
        <f t="shared" si="8"/>
        <v>1298.145164</v>
      </c>
      <c r="AI22" s="2">
        <f t="shared" si="8"/>
        <v>227.79489799999999</v>
      </c>
      <c r="AJ22" s="2">
        <f t="shared" si="8"/>
        <v>0</v>
      </c>
      <c r="AK22" s="2" t="e">
        <f t="shared" si="8"/>
        <v>#REF!</v>
      </c>
      <c r="AL22" s="2" t="e">
        <f t="shared" si="8"/>
        <v>#REF!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 t="e">
        <f t="shared" si="8"/>
        <v>#REF!</v>
      </c>
      <c r="AS22" s="2" t="e">
        <f t="shared" si="8"/>
        <v>#REF!</v>
      </c>
      <c r="AT22" s="2" t="e">
        <f t="shared" si="8"/>
        <v>#REF!</v>
      </c>
      <c r="AU22" s="2" t="e">
        <f t="shared" ref="AU22:BZ22" si="9">AU73</f>
        <v>#REF!</v>
      </c>
      <c r="AV22" s="2" t="e">
        <f t="shared" si="9"/>
        <v>#REF!</v>
      </c>
      <c r="AW22" s="2" t="e">
        <f t="shared" si="9"/>
        <v>#REF!</v>
      </c>
      <c r="AX22" s="2">
        <f t="shared" si="9"/>
        <v>0</v>
      </c>
      <c r="AY22" s="2" t="e">
        <f t="shared" si="9"/>
        <v>#REF!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 t="e">
        <f t="shared" si="9"/>
        <v>#REF!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 t="e">
        <f t="shared" ref="CA22:DF22" si="10">CA73</f>
        <v>#REF!</v>
      </c>
      <c r="CB22" s="2" t="e">
        <f t="shared" si="10"/>
        <v>#REF!</v>
      </c>
      <c r="CC22" s="2" t="e">
        <f t="shared" si="10"/>
        <v>#REF!</v>
      </c>
      <c r="CD22" s="2" t="e">
        <f t="shared" si="10"/>
        <v>#REF!</v>
      </c>
      <c r="CE22" s="2" t="e">
        <f t="shared" si="10"/>
        <v>#REF!</v>
      </c>
      <c r="CF22" s="2" t="e">
        <f t="shared" si="10"/>
        <v>#REF!</v>
      </c>
      <c r="CG22" s="2">
        <f t="shared" si="10"/>
        <v>0</v>
      </c>
      <c r="CH22" s="2" t="e">
        <f t="shared" si="10"/>
        <v>#REF!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 t="e">
        <f t="shared" si="10"/>
        <v>#REF!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DG73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EM73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FS73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  <c r="IF22">
        <v>-1</v>
      </c>
    </row>
    <row r="23" spans="1:247" x14ac:dyDescent="0.2">
      <c r="IF23">
        <v>-1</v>
      </c>
    </row>
    <row r="24" spans="1:247" x14ac:dyDescent="0.2">
      <c r="A24">
        <v>17</v>
      </c>
      <c r="B24">
        <v>1</v>
      </c>
      <c r="C24">
        <f>ROW(SmtRes!A5)</f>
        <v>5</v>
      </c>
      <c r="D24">
        <f>ROW(EtalonRes!A5)</f>
        <v>5</v>
      </c>
      <c r="E24" t="s">
        <v>16</v>
      </c>
      <c r="F24" t="s">
        <v>17</v>
      </c>
      <c r="G24" t="s">
        <v>18</v>
      </c>
      <c r="H24" t="s">
        <v>19</v>
      </c>
      <c r="I24">
        <f>'2.Лок.смета.и.Акт в ЕР'!E47</f>
        <v>1.3260000000000001</v>
      </c>
      <c r="J24">
        <v>0</v>
      </c>
      <c r="K24">
        <f>ROUND(1326/1000,7)</f>
        <v>1.3260000000000001</v>
      </c>
      <c r="O24" t="e">
        <f>ROUND(CP24,2)</f>
        <v>#REF!</v>
      </c>
      <c r="P24" t="e">
        <f>ROUND(CQ24*I24,2)</f>
        <v>#REF!</v>
      </c>
      <c r="Q24" t="e">
        <f>ROUND(CR24*I24,2)</f>
        <v>#REF!</v>
      </c>
      <c r="R24" t="e">
        <f>ROUND(CS24*I24,2)</f>
        <v>#REF!</v>
      </c>
      <c r="S24" t="e">
        <f>ROUND(CT24*I24,2)</f>
        <v>#REF!</v>
      </c>
      <c r="T24">
        <f>ROUND(CU24*I24,2)</f>
        <v>0</v>
      </c>
      <c r="U24">
        <f>ROUND(CV24*I24,7)</f>
        <v>14.352624</v>
      </c>
      <c r="V24">
        <f>ROUND(CW24*I24,7)</f>
        <v>41.613858</v>
      </c>
      <c r="W24">
        <f>ROUND(CX24*I24,2)</f>
        <v>0</v>
      </c>
      <c r="X24" t="e">
        <f t="shared" ref="X24:Y27" si="14">ROUND(CY24,2)</f>
        <v>#REF!</v>
      </c>
      <c r="Y24" t="e">
        <f t="shared" si="14"/>
        <v>#REF!</v>
      </c>
      <c r="AA24">
        <v>67643165</v>
      </c>
      <c r="AB24" t="e">
        <f>ROUND((AC24+AD24+AF24),2)</f>
        <v>#REF!</v>
      </c>
      <c r="AC24" t="e">
        <f>ROUND((ES24),2)</f>
        <v>#REF!</v>
      </c>
      <c r="AD24" t="e">
        <f>ROUND(((((ET24*ROUND(1.1,7)))-((EU24*ROUND(1.1,7))))+AE24),2)</f>
        <v>#REF!</v>
      </c>
      <c r="AE24" t="e">
        <f>ROUND(((EU24*ROUND(1.1,7))),2)</f>
        <v>#REF!</v>
      </c>
      <c r="AF24" t="e">
        <f>ROUND(((EV24*ROUND(1.1,7))),2)</f>
        <v>#REF!</v>
      </c>
      <c r="AG24">
        <f>ROUND((AP24),2)</f>
        <v>0</v>
      </c>
      <c r="AH24">
        <f>((EW24*ROUND(1.1,7)))</f>
        <v>10.824</v>
      </c>
      <c r="AI24">
        <f>((EX24*ROUND(1.1,7)))</f>
        <v>31.383000000000003</v>
      </c>
      <c r="AJ24">
        <f>(AS24)</f>
        <v>0</v>
      </c>
      <c r="AK24" t="e">
        <f>AL24+AM24+AO24</f>
        <v>#REF!</v>
      </c>
      <c r="AL24" s="67" t="e">
        <f>'1.Лок.смета.и.Акт'!#REF!</f>
        <v>#REF!</v>
      </c>
      <c r="AM24" s="67" t="e">
        <f>'1.Лок.смета.и.Акт'!#REF!</f>
        <v>#REF!</v>
      </c>
      <c r="AN24" s="67" t="e">
        <f>'1.Лок.смета.и.Акт'!#REF!</f>
        <v>#REF!</v>
      </c>
      <c r="AO24" s="67" t="e">
        <f>'1.Лок.смета.и.Акт'!#REF!</f>
        <v>#REF!</v>
      </c>
      <c r="AP24">
        <v>0</v>
      </c>
      <c r="AQ24">
        <f>'2.Лок.смета.и.Акт в ЕР'!E55</f>
        <v>9.84</v>
      </c>
      <c r="AR24">
        <v>28.53</v>
      </c>
      <c r="AS24">
        <v>0</v>
      </c>
      <c r="AT24">
        <v>92</v>
      </c>
      <c r="AU24">
        <v>46</v>
      </c>
      <c r="AV24">
        <v>1</v>
      </c>
      <c r="AW24">
        <v>1</v>
      </c>
      <c r="AZ24">
        <v>1</v>
      </c>
      <c r="BA24" t="e">
        <f>'1.Лок.смета.и.Акт'!#REF!</f>
        <v>#REF!</v>
      </c>
      <c r="BB24" t="e">
        <f>'1.Лок.смета.и.Акт'!#REF!</f>
        <v>#REF!</v>
      </c>
      <c r="BC24" t="e">
        <f>'1.Лок.смета.и.Акт'!#REF!</f>
        <v>#REF!</v>
      </c>
      <c r="BD24" t="s">
        <v>6</v>
      </c>
      <c r="BE24" t="s">
        <v>6</v>
      </c>
      <c r="BF24" t="s">
        <v>6</v>
      </c>
      <c r="BG24" t="s">
        <v>6</v>
      </c>
      <c r="BH24">
        <v>0</v>
      </c>
      <c r="BI24">
        <v>1</v>
      </c>
      <c r="BJ24" t="s">
        <v>20</v>
      </c>
      <c r="BM24">
        <v>1001</v>
      </c>
      <c r="BN24">
        <v>0</v>
      </c>
      <c r="BO24" t="s">
        <v>6</v>
      </c>
      <c r="BP24">
        <v>0</v>
      </c>
      <c r="BQ24">
        <v>2</v>
      </c>
      <c r="BR24">
        <v>0</v>
      </c>
      <c r="BS24" t="e">
        <f>'1.Лок.смета.и.Акт'!#REF!</f>
        <v>#REF!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6</v>
      </c>
      <c r="BZ24">
        <v>92</v>
      </c>
      <c r="CA24">
        <v>46</v>
      </c>
      <c r="CB24" t="s">
        <v>6</v>
      </c>
      <c r="CE24">
        <v>0</v>
      </c>
      <c r="CF24">
        <v>0</v>
      </c>
      <c r="CG24">
        <v>0</v>
      </c>
      <c r="CM24">
        <v>0</v>
      </c>
      <c r="CN24" t="s">
        <v>21</v>
      </c>
      <c r="CO24">
        <v>0</v>
      </c>
      <c r="CP24" t="e">
        <f>(P24+Q24+S24)</f>
        <v>#REF!</v>
      </c>
      <c r="CQ24" t="e">
        <f>AC24*BC24</f>
        <v>#REF!</v>
      </c>
      <c r="CR24" t="e">
        <f>((((ET24*ROUND(1.1,7)))*BB24-((EU24*ROUND(1.1,7)))*BS24)+AE24*BS24)</f>
        <v>#REF!</v>
      </c>
      <c r="CS24" t="e">
        <f>AE24*BS24</f>
        <v>#REF!</v>
      </c>
      <c r="CT24" t="e">
        <f>AF24*BA24</f>
        <v>#REF!</v>
      </c>
      <c r="CU24">
        <f t="shared" ref="CU24:CX27" si="15">AG24</f>
        <v>0</v>
      </c>
      <c r="CV24">
        <f t="shared" si="15"/>
        <v>10.824</v>
      </c>
      <c r="CW24">
        <f t="shared" si="15"/>
        <v>31.383000000000003</v>
      </c>
      <c r="CX24">
        <f t="shared" si="15"/>
        <v>0</v>
      </c>
      <c r="CY24" t="e">
        <f>(((S24+R24)*AT24)/100)</f>
        <v>#REF!</v>
      </c>
      <c r="CZ24" t="e">
        <f>(((S24+R24)*AU24)/100)</f>
        <v>#REF!</v>
      </c>
      <c r="DB24">
        <v>1</v>
      </c>
      <c r="DC24" t="s">
        <v>6</v>
      </c>
      <c r="DD24" t="s">
        <v>6</v>
      </c>
      <c r="DE24" t="s">
        <v>22</v>
      </c>
      <c r="DF24" t="s">
        <v>22</v>
      </c>
      <c r="DG24" t="s">
        <v>22</v>
      </c>
      <c r="DH24" t="s">
        <v>6</v>
      </c>
      <c r="DI24" t="s">
        <v>22</v>
      </c>
      <c r="DJ24" t="s">
        <v>22</v>
      </c>
      <c r="DK24" t="s">
        <v>6</v>
      </c>
      <c r="DL24" t="s">
        <v>6</v>
      </c>
      <c r="DM24" t="s">
        <v>6</v>
      </c>
      <c r="DN24">
        <v>0</v>
      </c>
      <c r="DO24">
        <v>0</v>
      </c>
      <c r="DP24">
        <v>1</v>
      </c>
      <c r="DQ24">
        <v>1</v>
      </c>
      <c r="DU24">
        <v>1007</v>
      </c>
      <c r="DV24" t="s">
        <v>19</v>
      </c>
      <c r="DW24" t="str">
        <f>'2.Лок.смета.и.Акт в ЕР'!D47</f>
        <v>1000 м3</v>
      </c>
      <c r="DX24">
        <v>1000</v>
      </c>
      <c r="DZ24" t="s">
        <v>6</v>
      </c>
      <c r="EA24" t="s">
        <v>6</v>
      </c>
      <c r="EB24" t="s">
        <v>6</v>
      </c>
      <c r="EC24" t="s">
        <v>6</v>
      </c>
      <c r="EE24">
        <v>59670271</v>
      </c>
      <c r="EF24">
        <v>2</v>
      </c>
      <c r="EG24" t="s">
        <v>23</v>
      </c>
      <c r="EH24">
        <v>1</v>
      </c>
      <c r="EI24" t="s">
        <v>24</v>
      </c>
      <c r="EJ24">
        <v>1</v>
      </c>
      <c r="EK24">
        <v>1001</v>
      </c>
      <c r="EL24" t="s">
        <v>25</v>
      </c>
      <c r="EM24" t="s">
        <v>26</v>
      </c>
      <c r="EO24" t="s">
        <v>27</v>
      </c>
      <c r="EQ24">
        <v>0</v>
      </c>
      <c r="ER24" t="e">
        <f>ES24+ET24+EV24</f>
        <v>#REF!</v>
      </c>
      <c r="ES24" s="67" t="e">
        <f>'1.Лок.смета.и.Акт'!#REF!</f>
        <v>#REF!</v>
      </c>
      <c r="ET24" s="67" t="e">
        <f>'1.Лок.смета.и.Акт'!#REF!</f>
        <v>#REF!</v>
      </c>
      <c r="EU24" s="67" t="e">
        <f>'1.Лок.смета.и.Акт'!#REF!</f>
        <v>#REF!</v>
      </c>
      <c r="EV24" s="67" t="e">
        <f>'1.Лок.смета.и.Акт'!#REF!</f>
        <v>#REF!</v>
      </c>
      <c r="EW24">
        <f>'2.Лок.смета.и.Акт в ЕР'!E55</f>
        <v>9.84</v>
      </c>
      <c r="EX24">
        <v>28.53</v>
      </c>
      <c r="EY24">
        <v>0</v>
      </c>
      <c r="FQ24">
        <v>0</v>
      </c>
      <c r="FR24">
        <f t="shared" ref="FR24:FR71" si="16">ROUND(IF(BI24=3,GM24,0),2)</f>
        <v>0</v>
      </c>
      <c r="FS24">
        <v>0</v>
      </c>
      <c r="FX24">
        <v>92</v>
      </c>
      <c r="FY24">
        <v>46</v>
      </c>
      <c r="GA24" t="s">
        <v>6</v>
      </c>
      <c r="GD24">
        <v>1</v>
      </c>
      <c r="GF24">
        <v>-1191589528</v>
      </c>
      <c r="GG24">
        <v>2</v>
      </c>
      <c r="GH24">
        <v>1</v>
      </c>
      <c r="GI24">
        <v>4</v>
      </c>
      <c r="GJ24">
        <v>0</v>
      </c>
      <c r="GK24">
        <v>0</v>
      </c>
      <c r="GL24">
        <f t="shared" ref="GL24:GL71" si="17">ROUND(IF(AND(BH24=3,BI24=3,FS24&lt;&gt;0),P24,0),2)</f>
        <v>0</v>
      </c>
      <c r="GM24" t="e">
        <f>ROUND(O24+X24+Y24,2)+GX24</f>
        <v>#REF!</v>
      </c>
      <c r="GN24" t="e">
        <f t="shared" ref="GN24:GN71" si="18">IF(OR(BI24=0,BI24=1),GM24-GX24,0)</f>
        <v>#REF!</v>
      </c>
      <c r="GO24">
        <f t="shared" ref="GO24:GO71" si="19">IF(BI24=2,GM24-GX24,0)</f>
        <v>0</v>
      </c>
      <c r="GP24">
        <f t="shared" ref="GP24:GP71" si="20">IF(BI24=4,GM24-GX24,0)</f>
        <v>0</v>
      </c>
      <c r="GR24">
        <v>0</v>
      </c>
      <c r="GS24">
        <v>3</v>
      </c>
      <c r="GT24">
        <v>0</v>
      </c>
      <c r="GU24" t="s">
        <v>6</v>
      </c>
      <c r="GV24">
        <f>ROUND((GT24),2)</f>
        <v>0</v>
      </c>
      <c r="GW24">
        <v>1</v>
      </c>
      <c r="GX24">
        <f>ROUND(HC24*I24,2)</f>
        <v>0</v>
      </c>
      <c r="HA24">
        <v>0</v>
      </c>
      <c r="HB24">
        <v>0</v>
      </c>
      <c r="HC24">
        <f>GV24*GW24</f>
        <v>0</v>
      </c>
      <c r="HE24" t="s">
        <v>6</v>
      </c>
      <c r="HF24" t="s">
        <v>6</v>
      </c>
      <c r="HM24" t="s">
        <v>6</v>
      </c>
      <c r="HN24" t="s">
        <v>28</v>
      </c>
      <c r="HO24" t="s">
        <v>29</v>
      </c>
      <c r="HP24" t="s">
        <v>25</v>
      </c>
      <c r="HQ24" t="s">
        <v>25</v>
      </c>
      <c r="IF24">
        <v>-1</v>
      </c>
      <c r="IK24">
        <v>0</v>
      </c>
      <c r="IL24" t="s">
        <v>513</v>
      </c>
      <c r="IM24">
        <v>1.3260000000000001</v>
      </c>
    </row>
    <row r="25" spans="1:247" x14ac:dyDescent="0.2">
      <c r="A25">
        <v>18</v>
      </c>
      <c r="B25">
        <v>1</v>
      </c>
      <c r="C25">
        <v>5</v>
      </c>
      <c r="E25" t="s">
        <v>30</v>
      </c>
      <c r="F25" t="str">
        <f>'2.Лок.смета.и.Акт в ЕР'!B56</f>
        <v>02.2.05.04-1777</v>
      </c>
      <c r="G25" t="s">
        <v>32</v>
      </c>
      <c r="H25" t="s">
        <v>33</v>
      </c>
      <c r="I25">
        <f>I24*J25</f>
        <v>-5.3039999999999997E-2</v>
      </c>
      <c r="J25">
        <v>-3.9999999999999994E-2</v>
      </c>
      <c r="K25">
        <v>-0.04</v>
      </c>
      <c r="O25" t="e">
        <f>ROUND(CP25,2)</f>
        <v>#REF!</v>
      </c>
      <c r="P25" t="e">
        <f>ROUND(CQ25*I25,2)</f>
        <v>#REF!</v>
      </c>
      <c r="Q25">
        <f>ROUND(CR25*I25,2)</f>
        <v>0</v>
      </c>
      <c r="R25">
        <f>ROUND(CS25*I25,2)</f>
        <v>0</v>
      </c>
      <c r="S25">
        <f>ROUND(CT25*I25,2)</f>
        <v>0</v>
      </c>
      <c r="T25">
        <f>ROUND(CU25*I25,2)</f>
        <v>0</v>
      </c>
      <c r="U25">
        <f>ROUND(CV25*I25,7)</f>
        <v>0</v>
      </c>
      <c r="V25">
        <f>ROUND(CW25*I25,7)</f>
        <v>0</v>
      </c>
      <c r="W25">
        <f>ROUND(CX25*I25,2)</f>
        <v>0</v>
      </c>
      <c r="X25">
        <f t="shared" si="14"/>
        <v>0</v>
      </c>
      <c r="Y25">
        <f t="shared" si="14"/>
        <v>0</v>
      </c>
      <c r="AA25">
        <v>67643165</v>
      </c>
      <c r="AB25" t="e">
        <f>ROUND((AC25+AD25+AF25),2)</f>
        <v>#REF!</v>
      </c>
      <c r="AC25" t="e">
        <f>ROUND((ES25),2)</f>
        <v>#REF!</v>
      </c>
      <c r="AD25">
        <f>ROUND((((ET25)-(EU25))+AE25),2)</f>
        <v>0</v>
      </c>
      <c r="AE25">
        <f t="shared" ref="AE25:AF27" si="21">ROUND((EU25),2)</f>
        <v>0</v>
      </c>
      <c r="AF25">
        <f t="shared" si="21"/>
        <v>0</v>
      </c>
      <c r="AG25">
        <f>ROUND((AP25),2)</f>
        <v>0</v>
      </c>
      <c r="AH25">
        <f t="shared" ref="AH25:AI27" si="22">(EW25)</f>
        <v>0</v>
      </c>
      <c r="AI25">
        <f t="shared" si="22"/>
        <v>0</v>
      </c>
      <c r="AJ25">
        <f>(AS25)</f>
        <v>0</v>
      </c>
      <c r="AK25">
        <v>108.4</v>
      </c>
      <c r="AL25" s="67" t="e">
        <f>'1.Лок.смета.и.Акт'!#REF!</f>
        <v>#REF!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1</v>
      </c>
      <c r="AZ25">
        <v>1</v>
      </c>
      <c r="BA25">
        <v>1</v>
      </c>
      <c r="BB25">
        <v>1</v>
      </c>
      <c r="BC25" t="e">
        <f>'1.Лок.смета.и.Акт'!#REF!</f>
        <v>#REF!</v>
      </c>
      <c r="BD25" t="s">
        <v>6</v>
      </c>
      <c r="BE25" t="s">
        <v>6</v>
      </c>
      <c r="BF25" t="s">
        <v>6</v>
      </c>
      <c r="BG25" t="s">
        <v>6</v>
      </c>
      <c r="BH25">
        <v>3</v>
      </c>
      <c r="BI25">
        <v>1</v>
      </c>
      <c r="BJ25" t="s">
        <v>34</v>
      </c>
      <c r="BM25">
        <v>500001</v>
      </c>
      <c r="BN25">
        <v>0</v>
      </c>
      <c r="BO25" t="s">
        <v>6</v>
      </c>
      <c r="BP25">
        <v>0</v>
      </c>
      <c r="BQ25">
        <v>8</v>
      </c>
      <c r="BR25">
        <v>1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6</v>
      </c>
      <c r="BZ25">
        <v>0</v>
      </c>
      <c r="CA25">
        <v>0</v>
      </c>
      <c r="CB25" t="s">
        <v>6</v>
      </c>
      <c r="CE25">
        <v>0</v>
      </c>
      <c r="CF25">
        <v>0</v>
      </c>
      <c r="CG25">
        <v>0</v>
      </c>
      <c r="CM25">
        <v>0</v>
      </c>
      <c r="CN25" t="s">
        <v>6</v>
      </c>
      <c r="CO25">
        <v>0</v>
      </c>
      <c r="CP25" t="e">
        <f>(P25+Q25+S25)</f>
        <v>#REF!</v>
      </c>
      <c r="CQ25" t="e">
        <f>AC25*BC25</f>
        <v>#REF!</v>
      </c>
      <c r="CR25">
        <f>(((ET25)*BB25-(EU25)*BS25)+AE25*BS25)</f>
        <v>0</v>
      </c>
      <c r="CS25">
        <f>AE25*BS25</f>
        <v>0</v>
      </c>
      <c r="CT25">
        <f>AF25*BA25</f>
        <v>0</v>
      </c>
      <c r="CU25">
        <f t="shared" si="15"/>
        <v>0</v>
      </c>
      <c r="CV25">
        <f t="shared" si="15"/>
        <v>0</v>
      </c>
      <c r="CW25">
        <f t="shared" si="15"/>
        <v>0</v>
      </c>
      <c r="CX25">
        <f t="shared" si="15"/>
        <v>0</v>
      </c>
      <c r="CY25">
        <f>0</f>
        <v>0</v>
      </c>
      <c r="CZ25">
        <f>0</f>
        <v>0</v>
      </c>
      <c r="DC25" t="s">
        <v>6</v>
      </c>
      <c r="DD25" t="s">
        <v>6</v>
      </c>
      <c r="DE25" t="s">
        <v>6</v>
      </c>
      <c r="DF25" t="s">
        <v>6</v>
      </c>
      <c r="DG25" t="s">
        <v>6</v>
      </c>
      <c r="DH25" t="s">
        <v>6</v>
      </c>
      <c r="DI25" t="s">
        <v>6</v>
      </c>
      <c r="DJ25" t="s">
        <v>6</v>
      </c>
      <c r="DK25" t="s">
        <v>6</v>
      </c>
      <c r="DL25" t="s">
        <v>6</v>
      </c>
      <c r="DM25" t="s">
        <v>6</v>
      </c>
      <c r="DN25">
        <v>0</v>
      </c>
      <c r="DO25">
        <v>0</v>
      </c>
      <c r="DP25">
        <v>1</v>
      </c>
      <c r="DQ25">
        <v>1</v>
      </c>
      <c r="DU25">
        <v>1007</v>
      </c>
      <c r="DV25" t="s">
        <v>33</v>
      </c>
      <c r="DW25" t="str">
        <f>'2.Лок.смета.и.Акт в ЕР'!D56</f>
        <v>м3</v>
      </c>
      <c r="DX25">
        <v>1</v>
      </c>
      <c r="DZ25" t="s">
        <v>6</v>
      </c>
      <c r="EA25" t="s">
        <v>6</v>
      </c>
      <c r="EB25" t="s">
        <v>6</v>
      </c>
      <c r="EC25" t="s">
        <v>6</v>
      </c>
      <c r="EE25">
        <v>59670228</v>
      </c>
      <c r="EF25">
        <v>8</v>
      </c>
      <c r="EG25" t="s">
        <v>35</v>
      </c>
      <c r="EH25">
        <v>0</v>
      </c>
      <c r="EI25" t="s">
        <v>6</v>
      </c>
      <c r="EJ25">
        <v>1</v>
      </c>
      <c r="EK25">
        <v>500001</v>
      </c>
      <c r="EL25" t="s">
        <v>36</v>
      </c>
      <c r="EM25" t="s">
        <v>37</v>
      </c>
      <c r="EO25" t="s">
        <v>6</v>
      </c>
      <c r="EQ25">
        <v>32768</v>
      </c>
      <c r="ER25">
        <v>108.4</v>
      </c>
      <c r="ES25" s="67" t="e">
        <f>'1.Лок.смета.и.Акт'!#REF!</f>
        <v>#REF!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16"/>
        <v>0</v>
      </c>
      <c r="FS25">
        <v>0</v>
      </c>
      <c r="FX25">
        <v>0</v>
      </c>
      <c r="FY25">
        <v>0</v>
      </c>
      <c r="GA25" t="s">
        <v>6</v>
      </c>
      <c r="GD25">
        <v>1</v>
      </c>
      <c r="GF25">
        <v>-1769920836</v>
      </c>
      <c r="GG25">
        <v>2</v>
      </c>
      <c r="GH25">
        <v>1</v>
      </c>
      <c r="GI25">
        <v>4</v>
      </c>
      <c r="GJ25">
        <v>0</v>
      </c>
      <c r="GK25">
        <v>0</v>
      </c>
      <c r="GL25">
        <f t="shared" si="17"/>
        <v>0</v>
      </c>
      <c r="GM25" t="e">
        <f>ROUND(O25+X25+Y25,2)+GX25</f>
        <v>#REF!</v>
      </c>
      <c r="GN25" t="e">
        <f t="shared" si="18"/>
        <v>#REF!</v>
      </c>
      <c r="GO25">
        <f t="shared" si="19"/>
        <v>0</v>
      </c>
      <c r="GP25">
        <f t="shared" si="20"/>
        <v>0</v>
      </c>
      <c r="GR25">
        <v>0</v>
      </c>
      <c r="GS25">
        <v>3</v>
      </c>
      <c r="GT25">
        <v>0</v>
      </c>
      <c r="GU25" t="s">
        <v>6</v>
      </c>
      <c r="GV25">
        <f>ROUND((GT25),2)</f>
        <v>0</v>
      </c>
      <c r="GW25">
        <v>1</v>
      </c>
      <c r="GX25">
        <f>ROUND(HC25*I25,2)</f>
        <v>0</v>
      </c>
      <c r="HA25">
        <v>0</v>
      </c>
      <c r="HB25">
        <v>0</v>
      </c>
      <c r="HC25">
        <f>GV25*GW25</f>
        <v>0</v>
      </c>
      <c r="HE25" t="s">
        <v>6</v>
      </c>
      <c r="HF25" t="s">
        <v>6</v>
      </c>
      <c r="HM25" t="s">
        <v>6</v>
      </c>
      <c r="HN25" t="s">
        <v>6</v>
      </c>
      <c r="HO25" t="s">
        <v>6</v>
      </c>
      <c r="HP25" t="s">
        <v>6</v>
      </c>
      <c r="HQ25" t="s">
        <v>6</v>
      </c>
      <c r="IF25">
        <v>-1</v>
      </c>
      <c r="IK25">
        <v>0</v>
      </c>
    </row>
    <row r="26" spans="1:247" x14ac:dyDescent="0.2">
      <c r="A26">
        <v>17</v>
      </c>
      <c r="B26">
        <v>1</v>
      </c>
      <c r="C26">
        <f>ROW(SmtRes!A10)</f>
        <v>10</v>
      </c>
      <c r="D26">
        <f>ROW(EtalonRes!A10)</f>
        <v>10</v>
      </c>
      <c r="E26" t="s">
        <v>38</v>
      </c>
      <c r="F26" t="s">
        <v>17</v>
      </c>
      <c r="G26" t="s">
        <v>39</v>
      </c>
      <c r="H26" t="s">
        <v>19</v>
      </c>
      <c r="I26">
        <f>'2.Лок.смета.и.Акт в ЕР'!E60</f>
        <v>1.3260000000000001</v>
      </c>
      <c r="J26">
        <v>0</v>
      </c>
      <c r="K26">
        <f>ROUND(1326/1000,7)</f>
        <v>1.3260000000000001</v>
      </c>
      <c r="O26" t="e">
        <f>ROUND(CP26,2)</f>
        <v>#REF!</v>
      </c>
      <c r="P26" t="e">
        <f>ROUND(CQ26*I26,2)</f>
        <v>#REF!</v>
      </c>
      <c r="Q26" t="e">
        <f>ROUND(CR26*I26,2)</f>
        <v>#REF!</v>
      </c>
      <c r="R26" t="e">
        <f>ROUND(CS26*I26,2)</f>
        <v>#REF!</v>
      </c>
      <c r="S26" t="e">
        <f>ROUND(CT26*I26,2)</f>
        <v>#REF!</v>
      </c>
      <c r="T26">
        <f>ROUND(CU26*I26,2)</f>
        <v>0</v>
      </c>
      <c r="U26">
        <f>ROUND(CV26*I26,7)</f>
        <v>13.047840000000001</v>
      </c>
      <c r="V26">
        <f>ROUND(CW26*I26,7)</f>
        <v>37.830779999999997</v>
      </c>
      <c r="W26">
        <f>ROUND(CX26*I26,2)</f>
        <v>0</v>
      </c>
      <c r="X26" t="e">
        <f t="shared" si="14"/>
        <v>#REF!</v>
      </c>
      <c r="Y26" t="e">
        <f t="shared" si="14"/>
        <v>#REF!</v>
      </c>
      <c r="AA26">
        <v>67643165</v>
      </c>
      <c r="AB26" t="e">
        <f>ROUND((AC26+AD26+AF26),2)</f>
        <v>#REF!</v>
      </c>
      <c r="AC26" t="e">
        <f>ROUND((ES26),2)</f>
        <v>#REF!</v>
      </c>
      <c r="AD26" t="e">
        <f>ROUND((((ET26)-(EU26))+AE26),2)</f>
        <v>#REF!</v>
      </c>
      <c r="AE26" t="e">
        <f t="shared" si="21"/>
        <v>#REF!</v>
      </c>
      <c r="AF26" t="e">
        <f t="shared" si="21"/>
        <v>#REF!</v>
      </c>
      <c r="AG26">
        <f>ROUND((AP26),2)</f>
        <v>0</v>
      </c>
      <c r="AH26">
        <f t="shared" si="22"/>
        <v>9.84</v>
      </c>
      <c r="AI26">
        <f t="shared" si="22"/>
        <v>28.53</v>
      </c>
      <c r="AJ26">
        <f>(AS26)</f>
        <v>0</v>
      </c>
      <c r="AK26" t="e">
        <f>AL26+AM26+AO26</f>
        <v>#REF!</v>
      </c>
      <c r="AL26" s="67" t="e">
        <f>'1.Лок.смета.и.Акт'!#REF!</f>
        <v>#REF!</v>
      </c>
      <c r="AM26" s="67" t="e">
        <f>'1.Лок.смета.и.Акт'!#REF!</f>
        <v>#REF!</v>
      </c>
      <c r="AN26" s="67" t="e">
        <f>'1.Лок.смета.и.Акт'!#REF!</f>
        <v>#REF!</v>
      </c>
      <c r="AO26" s="67" t="e">
        <f>'1.Лок.смета.и.Акт'!#REF!</f>
        <v>#REF!</v>
      </c>
      <c r="AP26">
        <v>0</v>
      </c>
      <c r="AQ26">
        <f>'2.Лок.смета.и.Акт в ЕР'!E68</f>
        <v>9.84</v>
      </c>
      <c r="AR26">
        <v>28.53</v>
      </c>
      <c r="AS26">
        <v>0</v>
      </c>
      <c r="AT26">
        <v>92</v>
      </c>
      <c r="AU26">
        <v>46</v>
      </c>
      <c r="AV26">
        <v>1</v>
      </c>
      <c r="AW26">
        <v>1</v>
      </c>
      <c r="AZ26">
        <v>1</v>
      </c>
      <c r="BA26" t="e">
        <f>'1.Лок.смета.и.Акт'!#REF!</f>
        <v>#REF!</v>
      </c>
      <c r="BB26" t="e">
        <f>'1.Лок.смета.и.Акт'!#REF!</f>
        <v>#REF!</v>
      </c>
      <c r="BC26" t="e">
        <f>'1.Лок.смета.и.Акт'!#REF!</f>
        <v>#REF!</v>
      </c>
      <c r="BD26" t="s">
        <v>6</v>
      </c>
      <c r="BE26" t="s">
        <v>6</v>
      </c>
      <c r="BF26" t="s">
        <v>6</v>
      </c>
      <c r="BG26" t="s">
        <v>6</v>
      </c>
      <c r="BH26">
        <v>0</v>
      </c>
      <c r="BI26">
        <v>1</v>
      </c>
      <c r="BJ26" t="s">
        <v>20</v>
      </c>
      <c r="BM26">
        <v>1001</v>
      </c>
      <c r="BN26">
        <v>0</v>
      </c>
      <c r="BO26" t="s">
        <v>6</v>
      </c>
      <c r="BP26">
        <v>0</v>
      </c>
      <c r="BQ26">
        <v>2</v>
      </c>
      <c r="BR26">
        <v>0</v>
      </c>
      <c r="BS26" t="e">
        <f>'1.Лок.смета.и.Акт'!#REF!</f>
        <v>#REF!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6</v>
      </c>
      <c r="BZ26">
        <v>92</v>
      </c>
      <c r="CA26">
        <v>46</v>
      </c>
      <c r="CB26" t="s">
        <v>6</v>
      </c>
      <c r="CE26">
        <v>0</v>
      </c>
      <c r="CF26">
        <v>0</v>
      </c>
      <c r="CG26">
        <v>0</v>
      </c>
      <c r="CM26">
        <v>0</v>
      </c>
      <c r="CN26" t="s">
        <v>6</v>
      </c>
      <c r="CO26">
        <v>0</v>
      </c>
      <c r="CP26" t="e">
        <f>(P26+Q26+S26)</f>
        <v>#REF!</v>
      </c>
      <c r="CQ26" t="e">
        <f>AC26*BC26</f>
        <v>#REF!</v>
      </c>
      <c r="CR26" t="e">
        <f>(((ET26)*BB26-(EU26)*BS26)+AE26*BS26)</f>
        <v>#REF!</v>
      </c>
      <c r="CS26" t="e">
        <f>AE26*BS26</f>
        <v>#REF!</v>
      </c>
      <c r="CT26" t="e">
        <f>AF26*BA26</f>
        <v>#REF!</v>
      </c>
      <c r="CU26">
        <f t="shared" si="15"/>
        <v>0</v>
      </c>
      <c r="CV26">
        <f t="shared" si="15"/>
        <v>9.84</v>
      </c>
      <c r="CW26">
        <f t="shared" si="15"/>
        <v>28.53</v>
      </c>
      <c r="CX26">
        <f t="shared" si="15"/>
        <v>0</v>
      </c>
      <c r="CY26" t="e">
        <f>(((S26+R26)*AT26)/100)</f>
        <v>#REF!</v>
      </c>
      <c r="CZ26" t="e">
        <f>(((S26+R26)*AU26)/100)</f>
        <v>#REF!</v>
      </c>
      <c r="DC26" t="s">
        <v>6</v>
      </c>
      <c r="DD26" t="s">
        <v>6</v>
      </c>
      <c r="DE26" t="s">
        <v>6</v>
      </c>
      <c r="DF26" t="s">
        <v>6</v>
      </c>
      <c r="DG26" t="s">
        <v>6</v>
      </c>
      <c r="DH26" t="s">
        <v>6</v>
      </c>
      <c r="DI26" t="s">
        <v>6</v>
      </c>
      <c r="DJ26" t="s">
        <v>6</v>
      </c>
      <c r="DK26" t="s">
        <v>6</v>
      </c>
      <c r="DL26" t="s">
        <v>6</v>
      </c>
      <c r="DM26" t="s">
        <v>6</v>
      </c>
      <c r="DN26">
        <v>0</v>
      </c>
      <c r="DO26">
        <v>0</v>
      </c>
      <c r="DP26">
        <v>1</v>
      </c>
      <c r="DQ26">
        <v>1</v>
      </c>
      <c r="DU26">
        <v>1007</v>
      </c>
      <c r="DV26" t="s">
        <v>19</v>
      </c>
      <c r="DW26" t="str">
        <f>'2.Лок.смета.и.Акт в ЕР'!D60</f>
        <v>1000 м3</v>
      </c>
      <c r="DX26">
        <v>1000</v>
      </c>
      <c r="DZ26" t="s">
        <v>6</v>
      </c>
      <c r="EA26" t="s">
        <v>6</v>
      </c>
      <c r="EB26" t="s">
        <v>6</v>
      </c>
      <c r="EC26" t="s">
        <v>6</v>
      </c>
      <c r="EE26">
        <v>59670271</v>
      </c>
      <c r="EF26">
        <v>2</v>
      </c>
      <c r="EG26" t="s">
        <v>23</v>
      </c>
      <c r="EH26">
        <v>1</v>
      </c>
      <c r="EI26" t="s">
        <v>24</v>
      </c>
      <c r="EJ26">
        <v>1</v>
      </c>
      <c r="EK26">
        <v>1001</v>
      </c>
      <c r="EL26" t="s">
        <v>25</v>
      </c>
      <c r="EM26" t="s">
        <v>26</v>
      </c>
      <c r="EO26" t="s">
        <v>6</v>
      </c>
      <c r="EQ26">
        <v>131072</v>
      </c>
      <c r="ER26" t="e">
        <f>ES26+ET26+EV26</f>
        <v>#REF!</v>
      </c>
      <c r="ES26" s="67" t="e">
        <f>'1.Лок.смета.и.Акт'!#REF!</f>
        <v>#REF!</v>
      </c>
      <c r="ET26" s="67" t="e">
        <f>'1.Лок.смета.и.Акт'!#REF!</f>
        <v>#REF!</v>
      </c>
      <c r="EU26" s="67" t="e">
        <f>'1.Лок.смета.и.Акт'!#REF!</f>
        <v>#REF!</v>
      </c>
      <c r="EV26" s="67" t="e">
        <f>'1.Лок.смета.и.Акт'!#REF!</f>
        <v>#REF!</v>
      </c>
      <c r="EW26">
        <f>'2.Лок.смета.и.Акт в ЕР'!E68</f>
        <v>9.84</v>
      </c>
      <c r="EX26">
        <v>28.53</v>
      </c>
      <c r="EY26">
        <v>0</v>
      </c>
      <c r="FQ26">
        <v>0</v>
      </c>
      <c r="FR26">
        <f t="shared" si="16"/>
        <v>0</v>
      </c>
      <c r="FS26">
        <v>0</v>
      </c>
      <c r="FX26">
        <v>92</v>
      </c>
      <c r="FY26">
        <v>46</v>
      </c>
      <c r="GA26" t="s">
        <v>6</v>
      </c>
      <c r="GD26">
        <v>1</v>
      </c>
      <c r="GF26">
        <v>715723525</v>
      </c>
      <c r="GG26">
        <v>2</v>
      </c>
      <c r="GH26">
        <v>1</v>
      </c>
      <c r="GI26">
        <v>4</v>
      </c>
      <c r="GJ26">
        <v>0</v>
      </c>
      <c r="GK26">
        <v>0</v>
      </c>
      <c r="GL26">
        <f t="shared" si="17"/>
        <v>0</v>
      </c>
      <c r="GM26" t="e">
        <f>ROUND(O26+X26+Y26,2)+GX26</f>
        <v>#REF!</v>
      </c>
      <c r="GN26" t="e">
        <f t="shared" si="18"/>
        <v>#REF!</v>
      </c>
      <c r="GO26">
        <f t="shared" si="19"/>
        <v>0</v>
      </c>
      <c r="GP26">
        <f t="shared" si="20"/>
        <v>0</v>
      </c>
      <c r="GR26">
        <v>0</v>
      </c>
      <c r="GS26">
        <v>3</v>
      </c>
      <c r="GT26">
        <v>0</v>
      </c>
      <c r="GU26" t="s">
        <v>6</v>
      </c>
      <c r="GV26">
        <f>ROUND((GT26),2)</f>
        <v>0</v>
      </c>
      <c r="GW26">
        <v>1</v>
      </c>
      <c r="GX26">
        <f>ROUND(HC26*I26,2)</f>
        <v>0</v>
      </c>
      <c r="HA26">
        <v>0</v>
      </c>
      <c r="HB26">
        <v>0</v>
      </c>
      <c r="HC26">
        <f>GV26*GW26</f>
        <v>0</v>
      </c>
      <c r="HE26" t="s">
        <v>6</v>
      </c>
      <c r="HF26" t="s">
        <v>6</v>
      </c>
      <c r="HM26" t="s">
        <v>6</v>
      </c>
      <c r="HN26" t="s">
        <v>28</v>
      </c>
      <c r="HO26" t="s">
        <v>29</v>
      </c>
      <c r="HP26" t="s">
        <v>25</v>
      </c>
      <c r="HQ26" t="s">
        <v>25</v>
      </c>
      <c r="IF26">
        <v>-1</v>
      </c>
      <c r="IK26">
        <v>0</v>
      </c>
      <c r="IL26" t="s">
        <v>513</v>
      </c>
      <c r="IM26">
        <v>1.3260000000000001</v>
      </c>
    </row>
    <row r="27" spans="1:247" x14ac:dyDescent="0.2">
      <c r="A27">
        <v>18</v>
      </c>
      <c r="B27">
        <v>1</v>
      </c>
      <c r="C27">
        <v>10</v>
      </c>
      <c r="E27" t="s">
        <v>40</v>
      </c>
      <c r="F27" t="str">
        <f>'2.Лок.смета.и.Акт в ЕР'!B69</f>
        <v>02.2.05.04-1777</v>
      </c>
      <c r="G27" t="s">
        <v>32</v>
      </c>
      <c r="H27" t="s">
        <v>33</v>
      </c>
      <c r="I27">
        <f>I26*J27</f>
        <v>-5.3039999999999997E-2</v>
      </c>
      <c r="J27">
        <v>-3.9999999999999994E-2</v>
      </c>
      <c r="K27">
        <v>-0.04</v>
      </c>
      <c r="O27" t="e">
        <f>ROUND(CP27,2)</f>
        <v>#REF!</v>
      </c>
      <c r="P27" t="e">
        <f>ROUND(CQ27*I27,2)</f>
        <v>#REF!</v>
      </c>
      <c r="Q27">
        <f>ROUND(CR27*I27,2)</f>
        <v>0</v>
      </c>
      <c r="R27">
        <f>ROUND(CS27*I27,2)</f>
        <v>0</v>
      </c>
      <c r="S27">
        <f>ROUND(CT27*I27,2)</f>
        <v>0</v>
      </c>
      <c r="T27">
        <f>ROUND(CU27*I27,2)</f>
        <v>0</v>
      </c>
      <c r="U27">
        <f>ROUND(CV27*I27,7)</f>
        <v>0</v>
      </c>
      <c r="V27">
        <f>ROUND(CW27*I27,7)</f>
        <v>0</v>
      </c>
      <c r="W27">
        <f>ROUND(CX27*I27,2)</f>
        <v>0</v>
      </c>
      <c r="X27">
        <f t="shared" si="14"/>
        <v>0</v>
      </c>
      <c r="Y27">
        <f t="shared" si="14"/>
        <v>0</v>
      </c>
      <c r="AA27">
        <v>67643165</v>
      </c>
      <c r="AB27" t="e">
        <f>ROUND((AC27+AD27+AF27),2)</f>
        <v>#REF!</v>
      </c>
      <c r="AC27" t="e">
        <f>ROUND((ES27),2)</f>
        <v>#REF!</v>
      </c>
      <c r="AD27">
        <f>ROUND((((ET27)-(EU27))+AE27),2)</f>
        <v>0</v>
      </c>
      <c r="AE27">
        <f t="shared" si="21"/>
        <v>0</v>
      </c>
      <c r="AF27">
        <f t="shared" si="21"/>
        <v>0</v>
      </c>
      <c r="AG27">
        <f>ROUND((AP27),2)</f>
        <v>0</v>
      </c>
      <c r="AH27">
        <f t="shared" si="22"/>
        <v>0</v>
      </c>
      <c r="AI27">
        <f t="shared" si="22"/>
        <v>0</v>
      </c>
      <c r="AJ27">
        <f>(AS27)</f>
        <v>0</v>
      </c>
      <c r="AK27">
        <v>108.4</v>
      </c>
      <c r="AL27" s="67" t="e">
        <f>'1.Лок.смета.и.Акт'!#REF!</f>
        <v>#REF!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1</v>
      </c>
      <c r="AW27">
        <v>1</v>
      </c>
      <c r="AZ27">
        <v>1</v>
      </c>
      <c r="BA27">
        <v>1</v>
      </c>
      <c r="BB27">
        <v>1</v>
      </c>
      <c r="BC27" t="e">
        <f>'1.Лок.смета.и.Акт'!#REF!</f>
        <v>#REF!</v>
      </c>
      <c r="BD27" t="s">
        <v>6</v>
      </c>
      <c r="BE27" t="s">
        <v>6</v>
      </c>
      <c r="BF27" t="s">
        <v>6</v>
      </c>
      <c r="BG27" t="s">
        <v>6</v>
      </c>
      <c r="BH27">
        <v>3</v>
      </c>
      <c r="BI27">
        <v>1</v>
      </c>
      <c r="BJ27" t="s">
        <v>34</v>
      </c>
      <c r="BM27">
        <v>500001</v>
      </c>
      <c r="BN27">
        <v>0</v>
      </c>
      <c r="BO27" t="s">
        <v>6</v>
      </c>
      <c r="BP27">
        <v>0</v>
      </c>
      <c r="BQ27">
        <v>8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6</v>
      </c>
      <c r="BZ27">
        <v>0</v>
      </c>
      <c r="CA27">
        <v>0</v>
      </c>
      <c r="CB27" t="s">
        <v>6</v>
      </c>
      <c r="CE27">
        <v>0</v>
      </c>
      <c r="CF27">
        <v>0</v>
      </c>
      <c r="CG27">
        <v>0</v>
      </c>
      <c r="CM27">
        <v>0</v>
      </c>
      <c r="CN27" t="s">
        <v>6</v>
      </c>
      <c r="CO27">
        <v>0</v>
      </c>
      <c r="CP27" t="e">
        <f>(P27+Q27+S27)</f>
        <v>#REF!</v>
      </c>
      <c r="CQ27" t="e">
        <f>AC27*BC27</f>
        <v>#REF!</v>
      </c>
      <c r="CR27">
        <f>(((ET27)*BB27-(EU27)*BS27)+AE27*BS27)</f>
        <v>0</v>
      </c>
      <c r="CS27">
        <f>AE27*BS27</f>
        <v>0</v>
      </c>
      <c r="CT27">
        <f>AF27*BA27</f>
        <v>0</v>
      </c>
      <c r="CU27">
        <f t="shared" si="15"/>
        <v>0</v>
      </c>
      <c r="CV27">
        <f t="shared" si="15"/>
        <v>0</v>
      </c>
      <c r="CW27">
        <f t="shared" si="15"/>
        <v>0</v>
      </c>
      <c r="CX27">
        <f t="shared" si="15"/>
        <v>0</v>
      </c>
      <c r="CY27">
        <f>0</f>
        <v>0</v>
      </c>
      <c r="CZ27">
        <f>0</f>
        <v>0</v>
      </c>
      <c r="DC27" t="s">
        <v>6</v>
      </c>
      <c r="DD27" t="s">
        <v>6</v>
      </c>
      <c r="DE27" t="s">
        <v>6</v>
      </c>
      <c r="DF27" t="s">
        <v>6</v>
      </c>
      <c r="DG27" t="s">
        <v>6</v>
      </c>
      <c r="DH27" t="s">
        <v>6</v>
      </c>
      <c r="DI27" t="s">
        <v>6</v>
      </c>
      <c r="DJ27" t="s">
        <v>6</v>
      </c>
      <c r="DK27" t="s">
        <v>6</v>
      </c>
      <c r="DL27" t="s">
        <v>6</v>
      </c>
      <c r="DM27" t="s">
        <v>6</v>
      </c>
      <c r="DN27">
        <v>0</v>
      </c>
      <c r="DO27">
        <v>0</v>
      </c>
      <c r="DP27">
        <v>1</v>
      </c>
      <c r="DQ27">
        <v>1</v>
      </c>
      <c r="DU27">
        <v>1007</v>
      </c>
      <c r="DV27" t="s">
        <v>33</v>
      </c>
      <c r="DW27" t="str">
        <f>'2.Лок.смета.и.Акт в ЕР'!D69</f>
        <v>м3</v>
      </c>
      <c r="DX27">
        <v>1</v>
      </c>
      <c r="DZ27" t="s">
        <v>6</v>
      </c>
      <c r="EA27" t="s">
        <v>6</v>
      </c>
      <c r="EB27" t="s">
        <v>6</v>
      </c>
      <c r="EC27" t="s">
        <v>6</v>
      </c>
      <c r="EE27">
        <v>59670228</v>
      </c>
      <c r="EF27">
        <v>8</v>
      </c>
      <c r="EG27" t="s">
        <v>35</v>
      </c>
      <c r="EH27">
        <v>0</v>
      </c>
      <c r="EI27" t="s">
        <v>6</v>
      </c>
      <c r="EJ27">
        <v>1</v>
      </c>
      <c r="EK27">
        <v>500001</v>
      </c>
      <c r="EL27" t="s">
        <v>36</v>
      </c>
      <c r="EM27" t="s">
        <v>37</v>
      </c>
      <c r="EO27" t="s">
        <v>6</v>
      </c>
      <c r="EQ27">
        <v>0</v>
      </c>
      <c r="ER27">
        <v>108.4</v>
      </c>
      <c r="ES27" s="67" t="e">
        <f>'1.Лок.смета.и.Акт'!#REF!</f>
        <v>#REF!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16"/>
        <v>0</v>
      </c>
      <c r="FS27">
        <v>0</v>
      </c>
      <c r="FX27">
        <v>0</v>
      </c>
      <c r="FY27">
        <v>0</v>
      </c>
      <c r="GA27" t="s">
        <v>6</v>
      </c>
      <c r="GD27">
        <v>1</v>
      </c>
      <c r="GF27">
        <v>-1769920836</v>
      </c>
      <c r="GG27">
        <v>2</v>
      </c>
      <c r="GH27">
        <v>1</v>
      </c>
      <c r="GI27">
        <v>4</v>
      </c>
      <c r="GJ27">
        <v>0</v>
      </c>
      <c r="GK27">
        <v>0</v>
      </c>
      <c r="GL27">
        <f t="shared" si="17"/>
        <v>0</v>
      </c>
      <c r="GM27" t="e">
        <f>ROUND(O27+X27+Y27,2)+GX27</f>
        <v>#REF!</v>
      </c>
      <c r="GN27" t="e">
        <f t="shared" si="18"/>
        <v>#REF!</v>
      </c>
      <c r="GO27">
        <f t="shared" si="19"/>
        <v>0</v>
      </c>
      <c r="GP27">
        <f t="shared" si="20"/>
        <v>0</v>
      </c>
      <c r="GR27">
        <v>0</v>
      </c>
      <c r="GS27">
        <v>3</v>
      </c>
      <c r="GT27">
        <v>0</v>
      </c>
      <c r="GU27" t="s">
        <v>6</v>
      </c>
      <c r="GV27">
        <f>ROUND((GT27),2)</f>
        <v>0</v>
      </c>
      <c r="GW27">
        <v>1</v>
      </c>
      <c r="GX27">
        <f>ROUND(HC27*I27,2)</f>
        <v>0</v>
      </c>
      <c r="HA27">
        <v>0</v>
      </c>
      <c r="HB27">
        <v>0</v>
      </c>
      <c r="HC27">
        <f>GV27*GW27</f>
        <v>0</v>
      </c>
      <c r="HE27" t="s">
        <v>6</v>
      </c>
      <c r="HF27" t="s">
        <v>6</v>
      </c>
      <c r="HM27" t="s">
        <v>6</v>
      </c>
      <c r="HN27" t="s">
        <v>6</v>
      </c>
      <c r="HO27" t="s">
        <v>6</v>
      </c>
      <c r="HP27" t="s">
        <v>6</v>
      </c>
      <c r="HQ27" t="s">
        <v>6</v>
      </c>
      <c r="IF27">
        <v>-1</v>
      </c>
      <c r="IK27">
        <v>0</v>
      </c>
    </row>
    <row r="28" spans="1:247" x14ac:dyDescent="0.2">
      <c r="A28">
        <v>17</v>
      </c>
      <c r="B28">
        <v>1</v>
      </c>
      <c r="E28" t="s">
        <v>41</v>
      </c>
      <c r="F28" t="s">
        <v>42</v>
      </c>
      <c r="G28" t="s">
        <v>43</v>
      </c>
      <c r="H28" t="s">
        <v>44</v>
      </c>
      <c r="I28">
        <f>'2.Лок.смета.и.Акт в ЕР'!E73</f>
        <v>2320.5</v>
      </c>
      <c r="J28">
        <v>0</v>
      </c>
      <c r="K28">
        <f>ROUND(I26*1750,7)</f>
        <v>2320.5</v>
      </c>
      <c r="O28">
        <f>0</f>
        <v>0</v>
      </c>
      <c r="P28">
        <f>0</f>
        <v>0</v>
      </c>
      <c r="Q28">
        <f>0</f>
        <v>0</v>
      </c>
      <c r="R28">
        <f>0</f>
        <v>0</v>
      </c>
      <c r="S28">
        <f>0</f>
        <v>0</v>
      </c>
      <c r="T28">
        <f>0</f>
        <v>0</v>
      </c>
      <c r="U28">
        <f>0</f>
        <v>0</v>
      </c>
      <c r="V28">
        <f>0</f>
        <v>0</v>
      </c>
      <c r="W28">
        <f>0</f>
        <v>0</v>
      </c>
      <c r="X28">
        <f>0</f>
        <v>0</v>
      </c>
      <c r="Y28">
        <f>0</f>
        <v>0</v>
      </c>
      <c r="AA28">
        <v>67643165</v>
      </c>
      <c r="AB28" t="e">
        <f>ROUND((AK28),2)</f>
        <v>#REF!</v>
      </c>
      <c r="AC28">
        <f>0</f>
        <v>0</v>
      </c>
      <c r="AD28">
        <f>0</f>
        <v>0</v>
      </c>
      <c r="AE28">
        <f>0</f>
        <v>0</v>
      </c>
      <c r="AF28">
        <f>0</f>
        <v>0</v>
      </c>
      <c r="AG28">
        <f>0</f>
        <v>0</v>
      </c>
      <c r="AH28">
        <f>0</f>
        <v>0</v>
      </c>
      <c r="AI28">
        <f>0</f>
        <v>0</v>
      </c>
      <c r="AJ28">
        <f>0</f>
        <v>0</v>
      </c>
      <c r="AK28" s="67" t="e">
        <f>'1.Лок.смета.и.Акт'!#REF!</f>
        <v>#REF!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 t="e">
        <f>'1.Лок.смета.и.Акт'!#REF!</f>
        <v>#REF!</v>
      </c>
      <c r="BA28">
        <v>1</v>
      </c>
      <c r="BB28">
        <v>1</v>
      </c>
      <c r="BC28">
        <v>1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45</v>
      </c>
      <c r="BM28">
        <v>700011</v>
      </c>
      <c r="BN28">
        <v>0</v>
      </c>
      <c r="BO28" t="s">
        <v>6</v>
      </c>
      <c r="BP28">
        <v>0</v>
      </c>
      <c r="BQ28">
        <v>40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0</v>
      </c>
      <c r="CA28">
        <v>0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6</v>
      </c>
      <c r="CO28">
        <v>0</v>
      </c>
      <c r="CP28" t="e">
        <f>AB28*AZ28</f>
        <v>#REF!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C28" t="s">
        <v>6</v>
      </c>
      <c r="DD28" t="s">
        <v>6</v>
      </c>
      <c r="DE28" t="s">
        <v>6</v>
      </c>
      <c r="DF28" t="s">
        <v>6</v>
      </c>
      <c r="DG28" t="s">
        <v>6</v>
      </c>
      <c r="DH28" t="s">
        <v>6</v>
      </c>
      <c r="DI28" t="s">
        <v>6</v>
      </c>
      <c r="DJ28" t="s">
        <v>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44</v>
      </c>
      <c r="DW28" t="str">
        <f>'2.Лок.смета.и.Акт в ЕР'!D73</f>
        <v>1 Т ГРУЗА</v>
      </c>
      <c r="DX28">
        <v>1</v>
      </c>
      <c r="DZ28" t="s">
        <v>6</v>
      </c>
      <c r="EA28" t="s">
        <v>6</v>
      </c>
      <c r="EB28" t="s">
        <v>6</v>
      </c>
      <c r="EC28" t="s">
        <v>6</v>
      </c>
      <c r="EE28">
        <v>59670863</v>
      </c>
      <c r="EF28">
        <v>40</v>
      </c>
      <c r="EG28" t="s">
        <v>46</v>
      </c>
      <c r="EH28">
        <v>107</v>
      </c>
      <c r="EI28" t="s">
        <v>47</v>
      </c>
      <c r="EJ28">
        <v>1</v>
      </c>
      <c r="EK28">
        <v>700011</v>
      </c>
      <c r="EL28" t="s">
        <v>48</v>
      </c>
      <c r="EM28" t="s">
        <v>49</v>
      </c>
      <c r="EO28" t="s">
        <v>6</v>
      </c>
      <c r="EQ28">
        <v>131072</v>
      </c>
      <c r="ER28" s="67" t="e">
        <f>'1.Лок.смета.и.Акт'!#REF!</f>
        <v>#REF!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si="16"/>
        <v>0</v>
      </c>
      <c r="FS28">
        <v>0</v>
      </c>
      <c r="FX28">
        <v>0</v>
      </c>
      <c r="FY28">
        <v>0</v>
      </c>
      <c r="GA28" t="s">
        <v>6</v>
      </c>
      <c r="GD28">
        <v>1</v>
      </c>
      <c r="GF28">
        <v>-378540720</v>
      </c>
      <c r="GG28">
        <v>2</v>
      </c>
      <c r="GH28">
        <v>1</v>
      </c>
      <c r="GI28">
        <v>4</v>
      </c>
      <c r="GJ28">
        <v>2</v>
      </c>
      <c r="GK28">
        <v>0</v>
      </c>
      <c r="GL28">
        <f t="shared" si="17"/>
        <v>0</v>
      </c>
      <c r="GM28" t="e">
        <f>ROUND(CP28*I28,2)</f>
        <v>#REF!</v>
      </c>
      <c r="GN28" t="e">
        <f t="shared" si="18"/>
        <v>#REF!</v>
      </c>
      <c r="GO28">
        <f t="shared" si="19"/>
        <v>0</v>
      </c>
      <c r="GP28">
        <f t="shared" si="20"/>
        <v>0</v>
      </c>
      <c r="GR28">
        <v>0</v>
      </c>
      <c r="GS28">
        <v>3</v>
      </c>
      <c r="GT28">
        <v>0</v>
      </c>
      <c r="GU28" t="s">
        <v>6</v>
      </c>
      <c r="GV28">
        <f>0</f>
        <v>0</v>
      </c>
      <c r="GW28">
        <v>1</v>
      </c>
      <c r="GX28">
        <f>0</f>
        <v>0</v>
      </c>
      <c r="HA28">
        <v>0</v>
      </c>
      <c r="HB28">
        <v>0</v>
      </c>
      <c r="HC28">
        <v>0</v>
      </c>
      <c r="HD28" t="e">
        <f>GM28</f>
        <v>#REF!</v>
      </c>
      <c r="HE28" t="s">
        <v>6</v>
      </c>
      <c r="HF28" t="s">
        <v>6</v>
      </c>
      <c r="HM28" t="s">
        <v>6</v>
      </c>
      <c r="HN28" t="s">
        <v>6</v>
      </c>
      <c r="HO28" t="s">
        <v>6</v>
      </c>
      <c r="HP28" t="s">
        <v>6</v>
      </c>
      <c r="HQ28" t="s">
        <v>6</v>
      </c>
      <c r="IF28">
        <v>-1</v>
      </c>
      <c r="IK28">
        <v>0</v>
      </c>
      <c r="IL28" t="s">
        <v>514</v>
      </c>
      <c r="IM28">
        <v>2320.5</v>
      </c>
    </row>
    <row r="29" spans="1:247" x14ac:dyDescent="0.2">
      <c r="A29">
        <v>17</v>
      </c>
      <c r="B29">
        <v>1</v>
      </c>
      <c r="C29">
        <f>ROW(SmtRes!A15)</f>
        <v>15</v>
      </c>
      <c r="D29">
        <f>ROW(EtalonRes!A15)</f>
        <v>15</v>
      </c>
      <c r="E29" t="s">
        <v>50</v>
      </c>
      <c r="F29" t="s">
        <v>51</v>
      </c>
      <c r="G29" t="s">
        <v>52</v>
      </c>
      <c r="H29" t="s">
        <v>19</v>
      </c>
      <c r="I29">
        <f>'2.Лок.смета.и.Акт в ЕР'!E77</f>
        <v>1.3260000000000001</v>
      </c>
      <c r="J29">
        <v>0</v>
      </c>
      <c r="K29">
        <f>ROUND(I26,7)</f>
        <v>1.3260000000000001</v>
      </c>
      <c r="O29" t="e">
        <f t="shared" ref="O29:O71" si="23">ROUND(CP29,2)</f>
        <v>#REF!</v>
      </c>
      <c r="P29" t="e">
        <f t="shared" ref="P29:P71" si="24">ROUND(CQ29*I29,2)</f>
        <v>#REF!</v>
      </c>
      <c r="Q29" t="e">
        <f t="shared" ref="Q29:Q71" si="25">ROUND(CR29*I29,2)</f>
        <v>#REF!</v>
      </c>
      <c r="R29" t="e">
        <f t="shared" ref="R29:R71" si="26">ROUND(CS29*I29,2)</f>
        <v>#REF!</v>
      </c>
      <c r="S29" t="e">
        <f t="shared" ref="S29:S71" si="27">ROUND(CT29*I29,2)</f>
        <v>#REF!</v>
      </c>
      <c r="T29">
        <f t="shared" ref="T29:T71" si="28">ROUND(CU29*I29,2)</f>
        <v>0</v>
      </c>
      <c r="U29">
        <f t="shared" ref="U29:U71" si="29">ROUND(CV29*I29,7)</f>
        <v>4.4023199999999996</v>
      </c>
      <c r="V29">
        <f t="shared" ref="V29:V71" si="30">ROUND(CW29*I29,7)</f>
        <v>4.8929400000000003</v>
      </c>
      <c r="W29">
        <f t="shared" ref="W29:W71" si="31">ROUND(CX29*I29,2)</f>
        <v>0</v>
      </c>
      <c r="X29" t="e">
        <f t="shared" ref="X29:X71" si="32">ROUND(CY29,2)</f>
        <v>#REF!</v>
      </c>
      <c r="Y29" t="e">
        <f t="shared" ref="Y29:Y71" si="33">ROUND(CZ29,2)</f>
        <v>#REF!</v>
      </c>
      <c r="AA29">
        <v>67643165</v>
      </c>
      <c r="AB29" t="e">
        <f t="shared" ref="AB29:AB71" si="34">ROUND((AC29+AD29+AF29),2)</f>
        <v>#REF!</v>
      </c>
      <c r="AC29" t="e">
        <f t="shared" ref="AC29:AC71" si="35">ROUND((ES29),2)</f>
        <v>#REF!</v>
      </c>
      <c r="AD29" t="e">
        <f t="shared" ref="AD29:AD71" si="36">ROUND((((ET29)-(EU29))+AE29),2)</f>
        <v>#REF!</v>
      </c>
      <c r="AE29" t="e">
        <f>ROUND((EU29),2)</f>
        <v>#REF!</v>
      </c>
      <c r="AF29" t="e">
        <f>ROUND((EV29),2)</f>
        <v>#REF!</v>
      </c>
      <c r="AG29">
        <f t="shared" ref="AG29:AG71" si="37">ROUND((AP29),2)</f>
        <v>0</v>
      </c>
      <c r="AH29">
        <f>(EW29)</f>
        <v>3.32</v>
      </c>
      <c r="AI29">
        <f>(EX29)</f>
        <v>3.69</v>
      </c>
      <c r="AJ29">
        <f t="shared" ref="AJ29:AJ71" si="38">(AS29)</f>
        <v>0</v>
      </c>
      <c r="AK29" t="e">
        <f>AL29+AM29+AO29</f>
        <v>#REF!</v>
      </c>
      <c r="AL29" s="67" t="e">
        <f>'1.Лок.смета.и.Акт'!#REF!</f>
        <v>#REF!</v>
      </c>
      <c r="AM29" s="67" t="e">
        <f>'1.Лок.смета.и.Акт'!#REF!</f>
        <v>#REF!</v>
      </c>
      <c r="AN29" s="67" t="e">
        <f>'1.Лок.смета.и.Акт'!#REF!</f>
        <v>#REF!</v>
      </c>
      <c r="AO29" s="67" t="e">
        <f>'1.Лок.смета.и.Акт'!#REF!</f>
        <v>#REF!</v>
      </c>
      <c r="AP29">
        <v>0</v>
      </c>
      <c r="AQ29">
        <f>'2.Лок.смета.и.Акт в ЕР'!E84</f>
        <v>3.32</v>
      </c>
      <c r="AR29">
        <v>3.69</v>
      </c>
      <c r="AS29">
        <v>0</v>
      </c>
      <c r="AT29">
        <v>92</v>
      </c>
      <c r="AU29">
        <v>46</v>
      </c>
      <c r="AV29">
        <v>1</v>
      </c>
      <c r="AW29">
        <v>1</v>
      </c>
      <c r="AZ29">
        <v>1</v>
      </c>
      <c r="BA29" t="e">
        <f>'1.Лок.смета.и.Акт'!#REF!</f>
        <v>#REF!</v>
      </c>
      <c r="BB29" t="e">
        <f>'1.Лок.смета.и.Акт'!#REF!</f>
        <v>#REF!</v>
      </c>
      <c r="BC29" t="e">
        <f>'1.Лок.смета.и.Акт'!#REF!</f>
        <v>#REF!</v>
      </c>
      <c r="BD29" t="s">
        <v>6</v>
      </c>
      <c r="BE29" t="s">
        <v>6</v>
      </c>
      <c r="BF29" t="s">
        <v>6</v>
      </c>
      <c r="BG29" t="s">
        <v>6</v>
      </c>
      <c r="BH29">
        <v>0</v>
      </c>
      <c r="BI29">
        <v>1</v>
      </c>
      <c r="BJ29" t="s">
        <v>53</v>
      </c>
      <c r="BM29">
        <v>1001</v>
      </c>
      <c r="BN29">
        <v>0</v>
      </c>
      <c r="BO29" t="s">
        <v>6</v>
      </c>
      <c r="BP29">
        <v>0</v>
      </c>
      <c r="BQ29">
        <v>2</v>
      </c>
      <c r="BR29">
        <v>0</v>
      </c>
      <c r="BS29" t="e">
        <f>'1.Лок.смета.и.Акт'!#REF!</f>
        <v>#REF!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>
        <v>92</v>
      </c>
      <c r="CA29">
        <v>46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6</v>
      </c>
      <c r="CO29">
        <v>0</v>
      </c>
      <c r="CP29" t="e">
        <f t="shared" ref="CP29:CP71" si="39">(P29+Q29+S29)</f>
        <v>#REF!</v>
      </c>
      <c r="CQ29" t="e">
        <f t="shared" ref="CQ29:CQ34" si="40">AC29*BC29</f>
        <v>#REF!</v>
      </c>
      <c r="CR29" t="e">
        <f t="shared" ref="CR29:CR34" si="41">(((ET29)*BB29-(EU29)*BS29)+AE29*BS29)</f>
        <v>#REF!</v>
      </c>
      <c r="CS29" t="e">
        <f t="shared" ref="CS29:CS71" si="42">AE29*BS29</f>
        <v>#REF!</v>
      </c>
      <c r="CT29" t="e">
        <f t="shared" ref="CT29:CT71" si="43">AF29*BA29</f>
        <v>#REF!</v>
      </c>
      <c r="CU29">
        <f t="shared" ref="CU29:CU71" si="44">AG29</f>
        <v>0</v>
      </c>
      <c r="CV29">
        <f t="shared" ref="CV29:CV71" si="45">AH29</f>
        <v>3.32</v>
      </c>
      <c r="CW29">
        <f t="shared" ref="CW29:CW71" si="46">AI29</f>
        <v>3.69</v>
      </c>
      <c r="CX29">
        <f t="shared" ref="CX29:CX71" si="47">AJ29</f>
        <v>0</v>
      </c>
      <c r="CY29" t="e">
        <f>(((S29+R29)*AT29)/100)</f>
        <v>#REF!</v>
      </c>
      <c r="CZ29" t="e">
        <f>(((S29+R29)*AU29)/100)</f>
        <v>#REF!</v>
      </c>
      <c r="DC29" t="s">
        <v>6</v>
      </c>
      <c r="DD29" t="s">
        <v>6</v>
      </c>
      <c r="DE29" t="s">
        <v>6</v>
      </c>
      <c r="DF29" t="s">
        <v>6</v>
      </c>
      <c r="DG29" t="s">
        <v>6</v>
      </c>
      <c r="DH29" t="s">
        <v>6</v>
      </c>
      <c r="DI29" t="s">
        <v>6</v>
      </c>
      <c r="DJ29" t="s">
        <v>6</v>
      </c>
      <c r="DK29" t="s">
        <v>6</v>
      </c>
      <c r="DL29" t="s">
        <v>6</v>
      </c>
      <c r="DM29" t="s">
        <v>6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19</v>
      </c>
      <c r="DW29" t="str">
        <f>'2.Лок.смета.и.Акт в ЕР'!D77</f>
        <v>1000 м3</v>
      </c>
      <c r="DX29">
        <v>1000</v>
      </c>
      <c r="DZ29" t="s">
        <v>6</v>
      </c>
      <c r="EA29" t="s">
        <v>6</v>
      </c>
      <c r="EB29" t="s">
        <v>6</v>
      </c>
      <c r="EC29" t="s">
        <v>6</v>
      </c>
      <c r="EE29">
        <v>59670271</v>
      </c>
      <c r="EF29">
        <v>2</v>
      </c>
      <c r="EG29" t="s">
        <v>23</v>
      </c>
      <c r="EH29">
        <v>1</v>
      </c>
      <c r="EI29" t="s">
        <v>24</v>
      </c>
      <c r="EJ29">
        <v>1</v>
      </c>
      <c r="EK29">
        <v>1001</v>
      </c>
      <c r="EL29" t="s">
        <v>25</v>
      </c>
      <c r="EM29" t="s">
        <v>26</v>
      </c>
      <c r="EO29" t="s">
        <v>6</v>
      </c>
      <c r="EQ29">
        <v>131072</v>
      </c>
      <c r="ER29" t="e">
        <f>ES29+ET29+EV29</f>
        <v>#REF!</v>
      </c>
      <c r="ES29" s="67" t="e">
        <f>'1.Лок.смета.и.Акт'!#REF!</f>
        <v>#REF!</v>
      </c>
      <c r="ET29" s="67" t="e">
        <f>'1.Лок.смета.и.Акт'!#REF!</f>
        <v>#REF!</v>
      </c>
      <c r="EU29" s="67" t="e">
        <f>'1.Лок.смета.и.Акт'!#REF!</f>
        <v>#REF!</v>
      </c>
      <c r="EV29" s="67" t="e">
        <f>'1.Лок.смета.и.Акт'!#REF!</f>
        <v>#REF!</v>
      </c>
      <c r="EW29">
        <f>'2.Лок.смета.и.Акт в ЕР'!E84</f>
        <v>3.32</v>
      </c>
      <c r="EX29">
        <v>3.69</v>
      </c>
      <c r="EY29">
        <v>0</v>
      </c>
      <c r="FQ29">
        <v>0</v>
      </c>
      <c r="FR29">
        <f t="shared" si="16"/>
        <v>0</v>
      </c>
      <c r="FS29">
        <v>0</v>
      </c>
      <c r="FX29">
        <v>92</v>
      </c>
      <c r="FY29">
        <v>46</v>
      </c>
      <c r="GA29" t="s">
        <v>6</v>
      </c>
      <c r="GD29">
        <v>1</v>
      </c>
      <c r="GF29">
        <v>2033095450</v>
      </c>
      <c r="GG29">
        <v>2</v>
      </c>
      <c r="GH29">
        <v>1</v>
      </c>
      <c r="GI29">
        <v>4</v>
      </c>
      <c r="GJ29">
        <v>0</v>
      </c>
      <c r="GK29">
        <v>0</v>
      </c>
      <c r="GL29">
        <f t="shared" si="17"/>
        <v>0</v>
      </c>
      <c r="GM29" t="e">
        <f t="shared" ref="GM29:GM71" si="48">ROUND(O29+X29+Y29,2)+GX29</f>
        <v>#REF!</v>
      </c>
      <c r="GN29" t="e">
        <f t="shared" si="18"/>
        <v>#REF!</v>
      </c>
      <c r="GO29">
        <f t="shared" si="19"/>
        <v>0</v>
      </c>
      <c r="GP29">
        <f t="shared" si="20"/>
        <v>0</v>
      </c>
      <c r="GR29">
        <v>0</v>
      </c>
      <c r="GS29">
        <v>3</v>
      </c>
      <c r="GT29">
        <v>0</v>
      </c>
      <c r="GU29" t="s">
        <v>6</v>
      </c>
      <c r="GV29">
        <f t="shared" ref="GV29:GV71" si="49">ROUND((GT29),2)</f>
        <v>0</v>
      </c>
      <c r="GW29">
        <v>1</v>
      </c>
      <c r="GX29">
        <f t="shared" ref="GX29:GX71" si="50">ROUND(HC29*I29,2)</f>
        <v>0</v>
      </c>
      <c r="HA29">
        <v>0</v>
      </c>
      <c r="HB29">
        <v>0</v>
      </c>
      <c r="HC29">
        <f t="shared" ref="HC29:HC71" si="51">GV29*GW29</f>
        <v>0</v>
      </c>
      <c r="HE29" t="s">
        <v>6</v>
      </c>
      <c r="HF29" t="s">
        <v>6</v>
      </c>
      <c r="HM29" t="s">
        <v>6</v>
      </c>
      <c r="HN29" t="s">
        <v>28</v>
      </c>
      <c r="HO29" t="s">
        <v>29</v>
      </c>
      <c r="HP29" t="s">
        <v>25</v>
      </c>
      <c r="HQ29" t="s">
        <v>25</v>
      </c>
      <c r="IF29">
        <v>-1</v>
      </c>
      <c r="IK29">
        <v>0</v>
      </c>
    </row>
    <row r="30" spans="1:247" x14ac:dyDescent="0.2">
      <c r="A30">
        <v>18</v>
      </c>
      <c r="B30">
        <v>1</v>
      </c>
      <c r="C30">
        <v>15</v>
      </c>
      <c r="E30" t="s">
        <v>54</v>
      </c>
      <c r="F30" t="str">
        <f>'2.Лок.смета.и.Акт в ЕР'!B85</f>
        <v>02.2.05.04-1777</v>
      </c>
      <c r="G30" t="s">
        <v>32</v>
      </c>
      <c r="H30" t="s">
        <v>33</v>
      </c>
      <c r="I30">
        <f>I29*J30</f>
        <v>-5.3039999999999997E-2</v>
      </c>
      <c r="J30">
        <v>-3.9999999999999994E-2</v>
      </c>
      <c r="K30">
        <v>-0.04</v>
      </c>
      <c r="O30" t="e">
        <f t="shared" si="23"/>
        <v>#REF!</v>
      </c>
      <c r="P30" t="e">
        <f t="shared" si="24"/>
        <v>#REF!</v>
      </c>
      <c r="Q30">
        <f t="shared" si="25"/>
        <v>0</v>
      </c>
      <c r="R30">
        <f t="shared" si="26"/>
        <v>0</v>
      </c>
      <c r="S30">
        <f t="shared" si="27"/>
        <v>0</v>
      </c>
      <c r="T30">
        <f t="shared" si="28"/>
        <v>0</v>
      </c>
      <c r="U30">
        <f t="shared" si="29"/>
        <v>0</v>
      </c>
      <c r="V30">
        <f t="shared" si="30"/>
        <v>0</v>
      </c>
      <c r="W30">
        <f t="shared" si="31"/>
        <v>0</v>
      </c>
      <c r="X30">
        <f t="shared" si="32"/>
        <v>0</v>
      </c>
      <c r="Y30">
        <f t="shared" si="33"/>
        <v>0</v>
      </c>
      <c r="AA30">
        <v>67643165</v>
      </c>
      <c r="AB30" t="e">
        <f t="shared" si="34"/>
        <v>#REF!</v>
      </c>
      <c r="AC30" t="e">
        <f t="shared" si="35"/>
        <v>#REF!</v>
      </c>
      <c r="AD30">
        <f t="shared" si="36"/>
        <v>0</v>
      </c>
      <c r="AE30">
        <f>ROUND((EU30),2)</f>
        <v>0</v>
      </c>
      <c r="AF30">
        <f>ROUND((EV30),2)</f>
        <v>0</v>
      </c>
      <c r="AG30">
        <f t="shared" si="37"/>
        <v>0</v>
      </c>
      <c r="AH30">
        <f>(EW30)</f>
        <v>0</v>
      </c>
      <c r="AI30">
        <f>(EX30)</f>
        <v>0</v>
      </c>
      <c r="AJ30">
        <f t="shared" si="38"/>
        <v>0</v>
      </c>
      <c r="AK30">
        <v>108.4</v>
      </c>
      <c r="AL30" s="67" t="e">
        <f>'1.Лок.смета.и.Акт'!#REF!</f>
        <v>#REF!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 t="e">
        <f>'1.Лок.смета.и.Акт'!#REF!</f>
        <v>#REF!</v>
      </c>
      <c r="BD30" t="s">
        <v>6</v>
      </c>
      <c r="BE30" t="s">
        <v>6</v>
      </c>
      <c r="BF30" t="s">
        <v>6</v>
      </c>
      <c r="BG30" t="s">
        <v>6</v>
      </c>
      <c r="BH30">
        <v>3</v>
      </c>
      <c r="BI30">
        <v>1</v>
      </c>
      <c r="BJ30" t="s">
        <v>34</v>
      </c>
      <c r="BM30">
        <v>500001</v>
      </c>
      <c r="BN30">
        <v>0</v>
      </c>
      <c r="BO30" t="s">
        <v>6</v>
      </c>
      <c r="BP30">
        <v>0</v>
      </c>
      <c r="BQ30">
        <v>8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0</v>
      </c>
      <c r="CA30">
        <v>0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6</v>
      </c>
      <c r="CO30">
        <v>0</v>
      </c>
      <c r="CP30" t="e">
        <f t="shared" si="39"/>
        <v>#REF!</v>
      </c>
      <c r="CQ30" t="e">
        <f t="shared" si="40"/>
        <v>#REF!</v>
      </c>
      <c r="CR30">
        <f t="shared" si="41"/>
        <v>0</v>
      </c>
      <c r="CS30">
        <f t="shared" si="42"/>
        <v>0</v>
      </c>
      <c r="CT30">
        <f t="shared" si="43"/>
        <v>0</v>
      </c>
      <c r="CU30">
        <f t="shared" si="44"/>
        <v>0</v>
      </c>
      <c r="CV30">
        <f t="shared" si="45"/>
        <v>0</v>
      </c>
      <c r="CW30">
        <f t="shared" si="46"/>
        <v>0</v>
      </c>
      <c r="CX30">
        <f t="shared" si="47"/>
        <v>0</v>
      </c>
      <c r="CY30">
        <f>0</f>
        <v>0</v>
      </c>
      <c r="CZ30">
        <f>0</f>
        <v>0</v>
      </c>
      <c r="DC30" t="s">
        <v>6</v>
      </c>
      <c r="DD30" t="s">
        <v>6</v>
      </c>
      <c r="DE30" t="s">
        <v>6</v>
      </c>
      <c r="DF30" t="s">
        <v>6</v>
      </c>
      <c r="DG30" t="s">
        <v>6</v>
      </c>
      <c r="DH30" t="s">
        <v>6</v>
      </c>
      <c r="DI30" t="s">
        <v>6</v>
      </c>
      <c r="DJ30" t="s">
        <v>6</v>
      </c>
      <c r="DK30" t="s">
        <v>6</v>
      </c>
      <c r="DL30" t="s">
        <v>6</v>
      </c>
      <c r="DM30" t="s">
        <v>6</v>
      </c>
      <c r="DN30">
        <v>0</v>
      </c>
      <c r="DO30">
        <v>0</v>
      </c>
      <c r="DP30">
        <v>1</v>
      </c>
      <c r="DQ30">
        <v>1</v>
      </c>
      <c r="DU30">
        <v>1007</v>
      </c>
      <c r="DV30" t="s">
        <v>33</v>
      </c>
      <c r="DW30" t="str">
        <f>'2.Лок.смета.и.Акт в ЕР'!D85</f>
        <v>м3</v>
      </c>
      <c r="DX30">
        <v>1</v>
      </c>
      <c r="DZ30" t="s">
        <v>6</v>
      </c>
      <c r="EA30" t="s">
        <v>6</v>
      </c>
      <c r="EB30" t="s">
        <v>6</v>
      </c>
      <c r="EC30" t="s">
        <v>6</v>
      </c>
      <c r="EE30">
        <v>59670228</v>
      </c>
      <c r="EF30">
        <v>8</v>
      </c>
      <c r="EG30" t="s">
        <v>35</v>
      </c>
      <c r="EH30">
        <v>0</v>
      </c>
      <c r="EI30" t="s">
        <v>6</v>
      </c>
      <c r="EJ30">
        <v>1</v>
      </c>
      <c r="EK30">
        <v>500001</v>
      </c>
      <c r="EL30" t="s">
        <v>36</v>
      </c>
      <c r="EM30" t="s">
        <v>37</v>
      </c>
      <c r="EO30" t="s">
        <v>6</v>
      </c>
      <c r="EQ30">
        <v>0</v>
      </c>
      <c r="ER30">
        <v>108.4</v>
      </c>
      <c r="ES30" s="67" t="e">
        <f>'1.Лок.смета.и.Акт'!#REF!</f>
        <v>#REF!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16"/>
        <v>0</v>
      </c>
      <c r="FS30">
        <v>0</v>
      </c>
      <c r="FX30">
        <v>0</v>
      </c>
      <c r="FY30">
        <v>0</v>
      </c>
      <c r="GA30" t="s">
        <v>6</v>
      </c>
      <c r="GD30">
        <v>1</v>
      </c>
      <c r="GF30">
        <v>-1769920836</v>
      </c>
      <c r="GG30">
        <v>2</v>
      </c>
      <c r="GH30">
        <v>1</v>
      </c>
      <c r="GI30">
        <v>4</v>
      </c>
      <c r="GJ30">
        <v>0</v>
      </c>
      <c r="GK30">
        <v>0</v>
      </c>
      <c r="GL30">
        <f t="shared" si="17"/>
        <v>0</v>
      </c>
      <c r="GM30" t="e">
        <f t="shared" si="48"/>
        <v>#REF!</v>
      </c>
      <c r="GN30" t="e">
        <f t="shared" si="18"/>
        <v>#REF!</v>
      </c>
      <c r="GO30">
        <f t="shared" si="19"/>
        <v>0</v>
      </c>
      <c r="GP30">
        <f t="shared" si="20"/>
        <v>0</v>
      </c>
      <c r="GR30">
        <v>0</v>
      </c>
      <c r="GS30">
        <v>3</v>
      </c>
      <c r="GT30">
        <v>0</v>
      </c>
      <c r="GU30" t="s">
        <v>6</v>
      </c>
      <c r="GV30">
        <f t="shared" si="49"/>
        <v>0</v>
      </c>
      <c r="GW30">
        <v>1</v>
      </c>
      <c r="GX30">
        <f t="shared" si="50"/>
        <v>0</v>
      </c>
      <c r="HA30">
        <v>0</v>
      </c>
      <c r="HB30">
        <v>0</v>
      </c>
      <c r="HC30">
        <f t="shared" si="51"/>
        <v>0</v>
      </c>
      <c r="HE30" t="s">
        <v>6</v>
      </c>
      <c r="HF30" t="s">
        <v>6</v>
      </c>
      <c r="HM30" t="s">
        <v>6</v>
      </c>
      <c r="HN30" t="s">
        <v>6</v>
      </c>
      <c r="HO30" t="s">
        <v>6</v>
      </c>
      <c r="HP30" t="s">
        <v>6</v>
      </c>
      <c r="HQ30" t="s">
        <v>6</v>
      </c>
      <c r="IF30">
        <v>-1</v>
      </c>
      <c r="IK30">
        <v>0</v>
      </c>
    </row>
    <row r="31" spans="1:247" x14ac:dyDescent="0.2">
      <c r="A31">
        <v>17</v>
      </c>
      <c r="B31">
        <v>1</v>
      </c>
      <c r="C31">
        <f>ROW(SmtRes!A16)</f>
        <v>16</v>
      </c>
      <c r="D31">
        <f>ROW(EtalonRes!A16)</f>
        <v>16</v>
      </c>
      <c r="E31" t="s">
        <v>55</v>
      </c>
      <c r="F31" t="s">
        <v>56</v>
      </c>
      <c r="G31" t="s">
        <v>57</v>
      </c>
      <c r="H31" t="s">
        <v>58</v>
      </c>
      <c r="I31">
        <f>'2.Лок.смета.и.Акт в ЕР'!E89</f>
        <v>0.254</v>
      </c>
      <c r="J31">
        <v>0</v>
      </c>
      <c r="K31">
        <f>ROUND(25.4/100,7)</f>
        <v>0.254</v>
      </c>
      <c r="O31" t="e">
        <f t="shared" si="23"/>
        <v>#REF!</v>
      </c>
      <c r="P31">
        <f t="shared" si="24"/>
        <v>0</v>
      </c>
      <c r="Q31">
        <f t="shared" si="25"/>
        <v>0</v>
      </c>
      <c r="R31">
        <f t="shared" si="26"/>
        <v>0</v>
      </c>
      <c r="S31" t="e">
        <f t="shared" si="27"/>
        <v>#REF!</v>
      </c>
      <c r="T31">
        <f t="shared" si="28"/>
        <v>0</v>
      </c>
      <c r="U31">
        <f t="shared" si="29"/>
        <v>53.980080000000001</v>
      </c>
      <c r="V31">
        <f t="shared" si="30"/>
        <v>0</v>
      </c>
      <c r="W31">
        <f t="shared" si="31"/>
        <v>0</v>
      </c>
      <c r="X31" t="e">
        <f t="shared" si="32"/>
        <v>#REF!</v>
      </c>
      <c r="Y31" t="e">
        <f t="shared" si="33"/>
        <v>#REF!</v>
      </c>
      <c r="AA31">
        <v>67643165</v>
      </c>
      <c r="AB31" t="e">
        <f t="shared" si="34"/>
        <v>#REF!</v>
      </c>
      <c r="AC31">
        <f t="shared" si="35"/>
        <v>0</v>
      </c>
      <c r="AD31">
        <f t="shared" si="36"/>
        <v>0</v>
      </c>
      <c r="AE31">
        <f t="shared" ref="AE31:AE71" si="52">ROUND((EU31),2)</f>
        <v>0</v>
      </c>
      <c r="AF31" t="e">
        <f>ROUND(((EV31*ROUND((1.2*1.15),7))),2)</f>
        <v>#REF!</v>
      </c>
      <c r="AG31">
        <f t="shared" si="37"/>
        <v>0</v>
      </c>
      <c r="AH31">
        <f>((EW31*ROUND((1.2*1.15),7)))</f>
        <v>212.51999999999998</v>
      </c>
      <c r="AI31">
        <f t="shared" ref="AI31:AI71" si="53">(EX31)</f>
        <v>0</v>
      </c>
      <c r="AJ31">
        <f t="shared" si="38"/>
        <v>0</v>
      </c>
      <c r="AK31" t="e">
        <f>AL31+AM31+AO31</f>
        <v>#REF!</v>
      </c>
      <c r="AL31">
        <v>0</v>
      </c>
      <c r="AM31">
        <v>0</v>
      </c>
      <c r="AN31">
        <v>0</v>
      </c>
      <c r="AO31" s="67" t="e">
        <f>'1.Лок.смета.и.Акт'!#REF!</f>
        <v>#REF!</v>
      </c>
      <c r="AP31">
        <v>0</v>
      </c>
      <c r="AQ31">
        <f>'2.Лок.смета.и.Акт в ЕР'!E94</f>
        <v>154</v>
      </c>
      <c r="AR31">
        <v>0</v>
      </c>
      <c r="AS31">
        <v>0</v>
      </c>
      <c r="AT31">
        <v>89</v>
      </c>
      <c r="AU31">
        <v>40</v>
      </c>
      <c r="AV31">
        <v>1</v>
      </c>
      <c r="AW31">
        <v>1</v>
      </c>
      <c r="AZ31">
        <v>1</v>
      </c>
      <c r="BA31" t="e">
        <f>'1.Лок.смета.и.Акт'!#REF!</f>
        <v>#REF!</v>
      </c>
      <c r="BB31">
        <v>13.26</v>
      </c>
      <c r="BC31">
        <v>9.11</v>
      </c>
      <c r="BD31" t="s">
        <v>6</v>
      </c>
      <c r="BE31" t="s">
        <v>6</v>
      </c>
      <c r="BF31" t="s">
        <v>6</v>
      </c>
      <c r="BG31" t="s">
        <v>6</v>
      </c>
      <c r="BH31">
        <v>0</v>
      </c>
      <c r="BI31">
        <v>1</v>
      </c>
      <c r="BJ31" t="s">
        <v>59</v>
      </c>
      <c r="BM31">
        <v>1003</v>
      </c>
      <c r="BN31">
        <v>0</v>
      </c>
      <c r="BO31" t="s">
        <v>6</v>
      </c>
      <c r="BP31">
        <v>0</v>
      </c>
      <c r="BQ31">
        <v>2</v>
      </c>
      <c r="BR31">
        <v>0</v>
      </c>
      <c r="BS31">
        <v>33.39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89</v>
      </c>
      <c r="CA31">
        <v>40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500</v>
      </c>
      <c r="CO31">
        <v>0</v>
      </c>
      <c r="CP31" t="e">
        <f t="shared" si="39"/>
        <v>#REF!</v>
      </c>
      <c r="CQ31">
        <f t="shared" si="40"/>
        <v>0</v>
      </c>
      <c r="CR31">
        <f t="shared" si="41"/>
        <v>0</v>
      </c>
      <c r="CS31">
        <f t="shared" si="42"/>
        <v>0</v>
      </c>
      <c r="CT31" t="e">
        <f t="shared" si="43"/>
        <v>#REF!</v>
      </c>
      <c r="CU31">
        <f t="shared" si="44"/>
        <v>0</v>
      </c>
      <c r="CV31">
        <f t="shared" si="45"/>
        <v>212.51999999999998</v>
      </c>
      <c r="CW31">
        <f t="shared" si="46"/>
        <v>0</v>
      </c>
      <c r="CX31">
        <f t="shared" si="47"/>
        <v>0</v>
      </c>
      <c r="CY31" t="e">
        <f>(((S31+R31)*AT31)/100)</f>
        <v>#REF!</v>
      </c>
      <c r="CZ31" t="e">
        <f>(((S31+R31)*AU31)/100)</f>
        <v>#REF!</v>
      </c>
      <c r="DB31">
        <v>2</v>
      </c>
      <c r="DC31" t="s">
        <v>6</v>
      </c>
      <c r="DD31" t="s">
        <v>6</v>
      </c>
      <c r="DE31" t="s">
        <v>6</v>
      </c>
      <c r="DF31" t="s">
        <v>6</v>
      </c>
      <c r="DG31" t="s">
        <v>60</v>
      </c>
      <c r="DH31" t="s">
        <v>6</v>
      </c>
      <c r="DI31" t="s">
        <v>60</v>
      </c>
      <c r="DJ31" t="s">
        <v>6</v>
      </c>
      <c r="DK31" t="s">
        <v>6</v>
      </c>
      <c r="DL31" t="s">
        <v>6</v>
      </c>
      <c r="DM31" t="s">
        <v>6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58</v>
      </c>
      <c r="DW31" t="str">
        <f>'2.Лок.смета.и.Акт в ЕР'!D89</f>
        <v>100 м3</v>
      </c>
      <c r="DX31">
        <v>100</v>
      </c>
      <c r="DZ31" t="s">
        <v>6</v>
      </c>
      <c r="EA31" t="s">
        <v>6</v>
      </c>
      <c r="EB31" t="s">
        <v>6</v>
      </c>
      <c r="EC31" t="s">
        <v>6</v>
      </c>
      <c r="EE31">
        <v>59670274</v>
      </c>
      <c r="EF31">
        <v>2</v>
      </c>
      <c r="EG31" t="s">
        <v>23</v>
      </c>
      <c r="EH31">
        <v>1</v>
      </c>
      <c r="EI31" t="s">
        <v>24</v>
      </c>
      <c r="EJ31">
        <v>1</v>
      </c>
      <c r="EK31">
        <v>1003</v>
      </c>
      <c r="EL31" t="s">
        <v>61</v>
      </c>
      <c r="EM31" t="s">
        <v>26</v>
      </c>
      <c r="EO31" t="s">
        <v>62</v>
      </c>
      <c r="EQ31">
        <v>131072</v>
      </c>
      <c r="ER31" t="e">
        <f>ES31+ET31+EV31</f>
        <v>#REF!</v>
      </c>
      <c r="ES31">
        <v>0</v>
      </c>
      <c r="ET31">
        <v>0</v>
      </c>
      <c r="EU31">
        <v>0</v>
      </c>
      <c r="EV31" s="67" t="e">
        <f>'1.Лок.смета.и.Акт'!#REF!</f>
        <v>#REF!</v>
      </c>
      <c r="EW31">
        <f>'2.Лок.смета.и.Акт в ЕР'!E94</f>
        <v>154</v>
      </c>
      <c r="EX31">
        <v>0</v>
      </c>
      <c r="EY31">
        <v>0</v>
      </c>
      <c r="FQ31">
        <v>0</v>
      </c>
      <c r="FR31">
        <f t="shared" si="16"/>
        <v>0</v>
      </c>
      <c r="FS31">
        <v>0</v>
      </c>
      <c r="FX31">
        <v>89</v>
      </c>
      <c r="FY31">
        <v>40</v>
      </c>
      <c r="GA31" t="s">
        <v>6</v>
      </c>
      <c r="GD31">
        <v>1</v>
      </c>
      <c r="GF31">
        <v>-130306796</v>
      </c>
      <c r="GG31">
        <v>2</v>
      </c>
      <c r="GH31">
        <v>1</v>
      </c>
      <c r="GI31">
        <v>4</v>
      </c>
      <c r="GJ31">
        <v>0</v>
      </c>
      <c r="GK31">
        <v>0</v>
      </c>
      <c r="GL31">
        <f t="shared" si="17"/>
        <v>0</v>
      </c>
      <c r="GM31" t="e">
        <f t="shared" si="48"/>
        <v>#REF!</v>
      </c>
      <c r="GN31" t="e">
        <f t="shared" si="18"/>
        <v>#REF!</v>
      </c>
      <c r="GO31">
        <f t="shared" si="19"/>
        <v>0</v>
      </c>
      <c r="GP31">
        <f t="shared" si="20"/>
        <v>0</v>
      </c>
      <c r="GR31">
        <v>0</v>
      </c>
      <c r="GS31">
        <v>3</v>
      </c>
      <c r="GT31">
        <v>0</v>
      </c>
      <c r="GU31" t="s">
        <v>6</v>
      </c>
      <c r="GV31">
        <f t="shared" si="49"/>
        <v>0</v>
      </c>
      <c r="GW31">
        <v>1</v>
      </c>
      <c r="GX31">
        <f t="shared" si="50"/>
        <v>0</v>
      </c>
      <c r="HA31">
        <v>0</v>
      </c>
      <c r="HB31">
        <v>0</v>
      </c>
      <c r="HC31">
        <f t="shared" si="51"/>
        <v>0</v>
      </c>
      <c r="HE31" t="s">
        <v>6</v>
      </c>
      <c r="HF31" t="s">
        <v>6</v>
      </c>
      <c r="HM31" t="s">
        <v>6</v>
      </c>
      <c r="HN31" t="s">
        <v>63</v>
      </c>
      <c r="HO31" t="s">
        <v>64</v>
      </c>
      <c r="HP31" t="s">
        <v>61</v>
      </c>
      <c r="HQ31" t="s">
        <v>61</v>
      </c>
      <c r="IF31">
        <v>-1</v>
      </c>
      <c r="IK31">
        <v>0</v>
      </c>
      <c r="IL31" t="s">
        <v>515</v>
      </c>
      <c r="IM31">
        <v>0.254</v>
      </c>
    </row>
    <row r="32" spans="1:247" x14ac:dyDescent="0.2">
      <c r="A32">
        <v>17</v>
      </c>
      <c r="B32">
        <v>1</v>
      </c>
      <c r="C32">
        <f>ROW(SmtRes!A20)</f>
        <v>20</v>
      </c>
      <c r="D32">
        <f>ROW(EtalonRes!A20)</f>
        <v>20</v>
      </c>
      <c r="E32" t="s">
        <v>65</v>
      </c>
      <c r="F32" t="s">
        <v>66</v>
      </c>
      <c r="G32" t="s">
        <v>67</v>
      </c>
      <c r="H32" t="s">
        <v>68</v>
      </c>
      <c r="I32">
        <f>'2.Лок.смета.и.Акт в ЕР'!E97</f>
        <v>5.0999999999999996</v>
      </c>
      <c r="J32">
        <v>0</v>
      </c>
      <c r="K32">
        <f>ROUND(51/10,7)</f>
        <v>5.0999999999999996</v>
      </c>
      <c r="O32" t="e">
        <f t="shared" si="23"/>
        <v>#REF!</v>
      </c>
      <c r="P32">
        <f t="shared" si="24"/>
        <v>0</v>
      </c>
      <c r="Q32" t="e">
        <f t="shared" si="25"/>
        <v>#REF!</v>
      </c>
      <c r="R32" t="e">
        <f t="shared" si="26"/>
        <v>#REF!</v>
      </c>
      <c r="S32" t="e">
        <f t="shared" si="27"/>
        <v>#REF!</v>
      </c>
      <c r="T32">
        <f t="shared" si="28"/>
        <v>0</v>
      </c>
      <c r="U32">
        <f t="shared" si="29"/>
        <v>52.02</v>
      </c>
      <c r="V32">
        <f t="shared" si="30"/>
        <v>1.6319999999999999</v>
      </c>
      <c r="W32">
        <f t="shared" si="31"/>
        <v>0</v>
      </c>
      <c r="X32" t="e">
        <f t="shared" si="32"/>
        <v>#REF!</v>
      </c>
      <c r="Y32" t="e">
        <f t="shared" si="33"/>
        <v>#REF!</v>
      </c>
      <c r="AA32">
        <v>67643165</v>
      </c>
      <c r="AB32" t="e">
        <f t="shared" si="34"/>
        <v>#REF!</v>
      </c>
      <c r="AC32">
        <f t="shared" si="35"/>
        <v>0</v>
      </c>
      <c r="AD32" t="e">
        <f t="shared" si="36"/>
        <v>#REF!</v>
      </c>
      <c r="AE32" t="e">
        <f t="shared" si="52"/>
        <v>#REF!</v>
      </c>
      <c r="AF32" t="e">
        <f t="shared" ref="AF32:AF71" si="54">ROUND((EV32),2)</f>
        <v>#REF!</v>
      </c>
      <c r="AG32">
        <f t="shared" si="37"/>
        <v>0</v>
      </c>
      <c r="AH32">
        <f t="shared" ref="AH32:AH71" si="55">(EW32)</f>
        <v>10.199999999999999</v>
      </c>
      <c r="AI32">
        <f t="shared" si="53"/>
        <v>0.32</v>
      </c>
      <c r="AJ32">
        <f t="shared" si="38"/>
        <v>0</v>
      </c>
      <c r="AK32" t="e">
        <f>AL32+AM32+AO32</f>
        <v>#REF!</v>
      </c>
      <c r="AL32">
        <v>0</v>
      </c>
      <c r="AM32" s="67" t="e">
        <f>'1.Лок.смета.и.Акт'!#REF!</f>
        <v>#REF!</v>
      </c>
      <c r="AN32" s="67" t="e">
        <f>'1.Лок.смета.и.Акт'!#REF!</f>
        <v>#REF!</v>
      </c>
      <c r="AO32" s="67" t="e">
        <f>'1.Лок.смета.и.Акт'!#REF!</f>
        <v>#REF!</v>
      </c>
      <c r="AP32">
        <v>0</v>
      </c>
      <c r="AQ32">
        <f>'2.Лок.смета.и.Акт в ЕР'!E104</f>
        <v>10.199999999999999</v>
      </c>
      <c r="AR32">
        <v>0.32</v>
      </c>
      <c r="AS32">
        <v>0</v>
      </c>
      <c r="AT32">
        <v>117</v>
      </c>
      <c r="AU32">
        <v>74</v>
      </c>
      <c r="AV32">
        <v>1</v>
      </c>
      <c r="AW32">
        <v>1</v>
      </c>
      <c r="AZ32">
        <v>1</v>
      </c>
      <c r="BA32" t="e">
        <f>'1.Лок.смета.и.Акт'!#REF!</f>
        <v>#REF!</v>
      </c>
      <c r="BB32" t="e">
        <f>'1.Лок.смета.и.Акт'!#REF!</f>
        <v>#REF!</v>
      </c>
      <c r="BC32">
        <v>9.11</v>
      </c>
      <c r="BD32" t="s">
        <v>6</v>
      </c>
      <c r="BE32" t="s">
        <v>6</v>
      </c>
      <c r="BF32" t="s">
        <v>6</v>
      </c>
      <c r="BG32" t="s">
        <v>6</v>
      </c>
      <c r="BH32">
        <v>0</v>
      </c>
      <c r="BI32">
        <v>1</v>
      </c>
      <c r="BJ32" t="s">
        <v>69</v>
      </c>
      <c r="BM32">
        <v>23001</v>
      </c>
      <c r="BN32">
        <v>0</v>
      </c>
      <c r="BO32" t="s">
        <v>6</v>
      </c>
      <c r="BP32">
        <v>0</v>
      </c>
      <c r="BQ32">
        <v>2</v>
      </c>
      <c r="BR32">
        <v>0</v>
      </c>
      <c r="BS32" t="e">
        <f>'1.Лок.смета.и.Акт'!#REF!</f>
        <v>#REF!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117</v>
      </c>
      <c r="CA32">
        <v>74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6</v>
      </c>
      <c r="CO32">
        <v>0</v>
      </c>
      <c r="CP32" t="e">
        <f t="shared" si="39"/>
        <v>#REF!</v>
      </c>
      <c r="CQ32">
        <f t="shared" si="40"/>
        <v>0</v>
      </c>
      <c r="CR32" t="e">
        <f t="shared" si="41"/>
        <v>#REF!</v>
      </c>
      <c r="CS32" t="e">
        <f t="shared" si="42"/>
        <v>#REF!</v>
      </c>
      <c r="CT32" t="e">
        <f t="shared" si="43"/>
        <v>#REF!</v>
      </c>
      <c r="CU32">
        <f t="shared" si="44"/>
        <v>0</v>
      </c>
      <c r="CV32">
        <f t="shared" si="45"/>
        <v>10.199999999999999</v>
      </c>
      <c r="CW32">
        <f t="shared" si="46"/>
        <v>0.32</v>
      </c>
      <c r="CX32">
        <f t="shared" si="47"/>
        <v>0</v>
      </c>
      <c r="CY32" t="e">
        <f>(((S32+R32)*AT32)/100)</f>
        <v>#REF!</v>
      </c>
      <c r="CZ32" t="e">
        <f>(((S32+R32)*AU32)/100)</f>
        <v>#REF!</v>
      </c>
      <c r="DC32" t="s">
        <v>6</v>
      </c>
      <c r="DD32" t="s">
        <v>6</v>
      </c>
      <c r="DE32" t="s">
        <v>6</v>
      </c>
      <c r="DF32" t="s">
        <v>6</v>
      </c>
      <c r="DG32" t="s">
        <v>6</v>
      </c>
      <c r="DH32" t="s">
        <v>6</v>
      </c>
      <c r="DI32" t="s">
        <v>6</v>
      </c>
      <c r="DJ32" t="s">
        <v>6</v>
      </c>
      <c r="DK32" t="s">
        <v>6</v>
      </c>
      <c r="DL32" t="s">
        <v>6</v>
      </c>
      <c r="DM32" t="s">
        <v>6</v>
      </c>
      <c r="DN32">
        <v>0</v>
      </c>
      <c r="DO32">
        <v>0</v>
      </c>
      <c r="DP32">
        <v>1</v>
      </c>
      <c r="DQ32">
        <v>1</v>
      </c>
      <c r="DU32">
        <v>1007</v>
      </c>
      <c r="DV32" t="s">
        <v>68</v>
      </c>
      <c r="DW32" t="str">
        <f>'2.Лок.смета.и.Акт в ЕР'!D97</f>
        <v>10 м3</v>
      </c>
      <c r="DX32">
        <v>10</v>
      </c>
      <c r="DZ32" t="s">
        <v>6</v>
      </c>
      <c r="EA32" t="s">
        <v>6</v>
      </c>
      <c r="EB32" t="s">
        <v>6</v>
      </c>
      <c r="EC32" t="s">
        <v>6</v>
      </c>
      <c r="EE32">
        <v>59670359</v>
      </c>
      <c r="EF32">
        <v>2</v>
      </c>
      <c r="EG32" t="s">
        <v>23</v>
      </c>
      <c r="EH32">
        <v>18</v>
      </c>
      <c r="EI32" t="s">
        <v>70</v>
      </c>
      <c r="EJ32">
        <v>1</v>
      </c>
      <c r="EK32">
        <v>23001</v>
      </c>
      <c r="EL32" t="s">
        <v>70</v>
      </c>
      <c r="EM32" t="s">
        <v>71</v>
      </c>
      <c r="EO32" t="s">
        <v>6</v>
      </c>
      <c r="EQ32">
        <v>131072</v>
      </c>
      <c r="ER32" t="e">
        <f>ES32+ET32+EV32</f>
        <v>#REF!</v>
      </c>
      <c r="ES32">
        <v>0</v>
      </c>
      <c r="ET32" s="67" t="e">
        <f>'1.Лок.смета.и.Акт'!#REF!</f>
        <v>#REF!</v>
      </c>
      <c r="EU32" s="67" t="e">
        <f>'1.Лок.смета.и.Акт'!#REF!</f>
        <v>#REF!</v>
      </c>
      <c r="EV32" s="67" t="e">
        <f>'1.Лок.смета.и.Акт'!#REF!</f>
        <v>#REF!</v>
      </c>
      <c r="EW32">
        <f>'2.Лок.смета.и.Акт в ЕР'!E104</f>
        <v>10.199999999999999</v>
      </c>
      <c r="EX32">
        <v>0.32</v>
      </c>
      <c r="EY32">
        <v>0</v>
      </c>
      <c r="FQ32">
        <v>0</v>
      </c>
      <c r="FR32">
        <f t="shared" si="16"/>
        <v>0</v>
      </c>
      <c r="FS32">
        <v>0</v>
      </c>
      <c r="FX32">
        <v>117</v>
      </c>
      <c r="FY32">
        <v>74</v>
      </c>
      <c r="GA32" t="s">
        <v>6</v>
      </c>
      <c r="GD32">
        <v>1</v>
      </c>
      <c r="GF32">
        <v>65716538</v>
      </c>
      <c r="GG32">
        <v>2</v>
      </c>
      <c r="GH32">
        <v>1</v>
      </c>
      <c r="GI32">
        <v>4</v>
      </c>
      <c r="GJ32">
        <v>0</v>
      </c>
      <c r="GK32">
        <v>0</v>
      </c>
      <c r="GL32">
        <f t="shared" si="17"/>
        <v>0</v>
      </c>
      <c r="GM32" t="e">
        <f t="shared" si="48"/>
        <v>#REF!</v>
      </c>
      <c r="GN32" t="e">
        <f t="shared" si="18"/>
        <v>#REF!</v>
      </c>
      <c r="GO32">
        <f t="shared" si="19"/>
        <v>0</v>
      </c>
      <c r="GP32">
        <f t="shared" si="20"/>
        <v>0</v>
      </c>
      <c r="GR32">
        <v>0</v>
      </c>
      <c r="GS32">
        <v>3</v>
      </c>
      <c r="GT32">
        <v>0</v>
      </c>
      <c r="GU32" t="s">
        <v>6</v>
      </c>
      <c r="GV32">
        <f t="shared" si="49"/>
        <v>0</v>
      </c>
      <c r="GW32">
        <v>1</v>
      </c>
      <c r="GX32">
        <f t="shared" si="50"/>
        <v>0</v>
      </c>
      <c r="HA32">
        <v>0</v>
      </c>
      <c r="HB32">
        <v>0</v>
      </c>
      <c r="HC32">
        <f t="shared" si="51"/>
        <v>0</v>
      </c>
      <c r="HE32" t="s">
        <v>6</v>
      </c>
      <c r="HF32" t="s">
        <v>6</v>
      </c>
      <c r="HM32" t="s">
        <v>6</v>
      </c>
      <c r="HN32" t="s">
        <v>72</v>
      </c>
      <c r="HO32" t="s">
        <v>73</v>
      </c>
      <c r="HP32" t="s">
        <v>70</v>
      </c>
      <c r="HQ32" t="s">
        <v>70</v>
      </c>
      <c r="IF32">
        <v>-1</v>
      </c>
      <c r="IK32">
        <v>0</v>
      </c>
      <c r="IL32" t="s">
        <v>516</v>
      </c>
      <c r="IM32">
        <v>5.0999999999999996</v>
      </c>
    </row>
    <row r="33" spans="1:247" x14ac:dyDescent="0.2">
      <c r="A33">
        <v>18</v>
      </c>
      <c r="B33">
        <v>1</v>
      </c>
      <c r="C33">
        <v>20</v>
      </c>
      <c r="E33" t="s">
        <v>74</v>
      </c>
      <c r="F33" t="str">
        <f>'2.Лок.смета.и.Акт в ЕР'!B105</f>
        <v>02.3.01.02-0016</v>
      </c>
      <c r="G33" t="s">
        <v>76</v>
      </c>
      <c r="H33" t="s">
        <v>33</v>
      </c>
      <c r="I33">
        <f>I32*J33</f>
        <v>56.099999999999994</v>
      </c>
      <c r="J33" s="211">
        <f>'6.Ведомость_списания'!F34</f>
        <v>11</v>
      </c>
      <c r="K33">
        <v>11</v>
      </c>
      <c r="O33" t="e">
        <f t="shared" si="23"/>
        <v>#REF!</v>
      </c>
      <c r="P33" t="e">
        <f t="shared" si="24"/>
        <v>#REF!</v>
      </c>
      <c r="Q33">
        <f t="shared" si="25"/>
        <v>0</v>
      </c>
      <c r="R33">
        <f t="shared" si="26"/>
        <v>0</v>
      </c>
      <c r="S33">
        <f t="shared" si="27"/>
        <v>0</v>
      </c>
      <c r="T33">
        <f t="shared" si="28"/>
        <v>0</v>
      </c>
      <c r="U33">
        <f t="shared" si="29"/>
        <v>0</v>
      </c>
      <c r="V33">
        <f t="shared" si="30"/>
        <v>0</v>
      </c>
      <c r="W33">
        <f t="shared" si="31"/>
        <v>0</v>
      </c>
      <c r="X33">
        <f t="shared" si="32"/>
        <v>0</v>
      </c>
      <c r="Y33">
        <f t="shared" si="33"/>
        <v>0</v>
      </c>
      <c r="AA33">
        <v>67643165</v>
      </c>
      <c r="AB33" t="e">
        <f t="shared" si="34"/>
        <v>#REF!</v>
      </c>
      <c r="AC33" t="e">
        <f t="shared" si="35"/>
        <v>#REF!</v>
      </c>
      <c r="AD33">
        <f t="shared" si="36"/>
        <v>0</v>
      </c>
      <c r="AE33">
        <f t="shared" si="52"/>
        <v>0</v>
      </c>
      <c r="AF33">
        <f t="shared" si="54"/>
        <v>0</v>
      </c>
      <c r="AG33">
        <f t="shared" si="37"/>
        <v>0</v>
      </c>
      <c r="AH33">
        <f t="shared" si="55"/>
        <v>0</v>
      </c>
      <c r="AI33">
        <f t="shared" si="53"/>
        <v>0</v>
      </c>
      <c r="AJ33">
        <f t="shared" si="38"/>
        <v>0</v>
      </c>
      <c r="AK33">
        <v>55.26</v>
      </c>
      <c r="AL33" s="67" t="e">
        <f>'1.Лок.смета.и.Акт'!#REF!</f>
        <v>#REF!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 t="e">
        <f>'1.Лок.смета.и.Акт'!#REF!</f>
        <v>#REF!</v>
      </c>
      <c r="BD33" t="s">
        <v>6</v>
      </c>
      <c r="BE33" t="s">
        <v>6</v>
      </c>
      <c r="BF33" t="s">
        <v>6</v>
      </c>
      <c r="BG33" t="s">
        <v>6</v>
      </c>
      <c r="BH33">
        <v>3</v>
      </c>
      <c r="BI33">
        <v>1</v>
      </c>
      <c r="BJ33" t="s">
        <v>77</v>
      </c>
      <c r="BM33">
        <v>500001</v>
      </c>
      <c r="BN33">
        <v>0</v>
      </c>
      <c r="BO33" t="s">
        <v>6</v>
      </c>
      <c r="BP33">
        <v>0</v>
      </c>
      <c r="BQ33">
        <v>8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6</v>
      </c>
      <c r="BZ33">
        <v>0</v>
      </c>
      <c r="CA33">
        <v>0</v>
      </c>
      <c r="CB33" t="s">
        <v>6</v>
      </c>
      <c r="CE33">
        <v>0</v>
      </c>
      <c r="CF33">
        <v>0</v>
      </c>
      <c r="CG33">
        <v>0</v>
      </c>
      <c r="CM33">
        <v>0</v>
      </c>
      <c r="CN33" t="s">
        <v>6</v>
      </c>
      <c r="CO33">
        <v>0</v>
      </c>
      <c r="CP33" t="e">
        <f t="shared" si="39"/>
        <v>#REF!</v>
      </c>
      <c r="CQ33" t="e">
        <f t="shared" si="40"/>
        <v>#REF!</v>
      </c>
      <c r="CR33">
        <f t="shared" si="41"/>
        <v>0</v>
      </c>
      <c r="CS33">
        <f t="shared" si="42"/>
        <v>0</v>
      </c>
      <c r="CT33">
        <f t="shared" si="43"/>
        <v>0</v>
      </c>
      <c r="CU33">
        <f t="shared" si="44"/>
        <v>0</v>
      </c>
      <c r="CV33">
        <f t="shared" si="45"/>
        <v>0</v>
      </c>
      <c r="CW33">
        <f t="shared" si="46"/>
        <v>0</v>
      </c>
      <c r="CX33">
        <f t="shared" si="47"/>
        <v>0</v>
      </c>
      <c r="CY33">
        <f>0</f>
        <v>0</v>
      </c>
      <c r="CZ33">
        <f>0</f>
        <v>0</v>
      </c>
      <c r="DC33" t="s">
        <v>6</v>
      </c>
      <c r="DD33" t="s">
        <v>6</v>
      </c>
      <c r="DE33" t="s">
        <v>6</v>
      </c>
      <c r="DF33" t="s">
        <v>6</v>
      </c>
      <c r="DG33" t="s">
        <v>6</v>
      </c>
      <c r="DH33" t="s">
        <v>6</v>
      </c>
      <c r="DI33" t="s">
        <v>6</v>
      </c>
      <c r="DJ33" t="s">
        <v>6</v>
      </c>
      <c r="DK33" t="s">
        <v>6</v>
      </c>
      <c r="DL33" t="s">
        <v>6</v>
      </c>
      <c r="DM33" t="s">
        <v>6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33</v>
      </c>
      <c r="DW33" t="str">
        <f>'2.Лок.смета.и.Акт в ЕР'!D105</f>
        <v>м3</v>
      </c>
      <c r="DX33">
        <v>1</v>
      </c>
      <c r="DZ33" t="s">
        <v>6</v>
      </c>
      <c r="EA33" t="s">
        <v>6</v>
      </c>
      <c r="EB33" t="s">
        <v>6</v>
      </c>
      <c r="EC33" t="s">
        <v>6</v>
      </c>
      <c r="EE33">
        <v>59670228</v>
      </c>
      <c r="EF33">
        <v>8</v>
      </c>
      <c r="EG33" t="s">
        <v>35</v>
      </c>
      <c r="EH33">
        <v>0</v>
      </c>
      <c r="EI33" t="s">
        <v>6</v>
      </c>
      <c r="EJ33">
        <v>1</v>
      </c>
      <c r="EK33">
        <v>500001</v>
      </c>
      <c r="EL33" t="s">
        <v>36</v>
      </c>
      <c r="EM33" t="s">
        <v>37</v>
      </c>
      <c r="EO33" t="s">
        <v>6</v>
      </c>
      <c r="EQ33">
        <v>0</v>
      </c>
      <c r="ER33">
        <v>55.26</v>
      </c>
      <c r="ES33" s="67" t="e">
        <f>'1.Лок.смета.и.Акт'!#REF!</f>
        <v>#REF!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16"/>
        <v>0</v>
      </c>
      <c r="FS33">
        <v>0</v>
      </c>
      <c r="FX33">
        <v>0</v>
      </c>
      <c r="FY33">
        <v>0</v>
      </c>
      <c r="GA33" t="s">
        <v>6</v>
      </c>
      <c r="GD33">
        <v>1</v>
      </c>
      <c r="GF33">
        <v>1448519192</v>
      </c>
      <c r="GG33">
        <v>2</v>
      </c>
      <c r="GH33">
        <v>1</v>
      </c>
      <c r="GI33">
        <v>4</v>
      </c>
      <c r="GJ33">
        <v>0</v>
      </c>
      <c r="GK33">
        <v>0</v>
      </c>
      <c r="GL33">
        <f t="shared" si="17"/>
        <v>0</v>
      </c>
      <c r="GM33" t="e">
        <f t="shared" si="48"/>
        <v>#REF!</v>
      </c>
      <c r="GN33" t="e">
        <f t="shared" si="18"/>
        <v>#REF!</v>
      </c>
      <c r="GO33">
        <f t="shared" si="19"/>
        <v>0</v>
      </c>
      <c r="GP33">
        <f t="shared" si="20"/>
        <v>0</v>
      </c>
      <c r="GR33">
        <v>0</v>
      </c>
      <c r="GS33">
        <v>3</v>
      </c>
      <c r="GT33">
        <v>0</v>
      </c>
      <c r="GU33" t="s">
        <v>6</v>
      </c>
      <c r="GV33">
        <f t="shared" si="49"/>
        <v>0</v>
      </c>
      <c r="GW33">
        <v>1</v>
      </c>
      <c r="GX33">
        <f t="shared" si="50"/>
        <v>0</v>
      </c>
      <c r="HA33">
        <v>0</v>
      </c>
      <c r="HB33">
        <v>0</v>
      </c>
      <c r="HC33">
        <f t="shared" si="51"/>
        <v>0</v>
      </c>
      <c r="HE33" t="s">
        <v>6</v>
      </c>
      <c r="HF33" t="s">
        <v>6</v>
      </c>
      <c r="HM33" t="s">
        <v>6</v>
      </c>
      <c r="HN33" t="s">
        <v>6</v>
      </c>
      <c r="HO33" t="s">
        <v>6</v>
      </c>
      <c r="HP33" t="s">
        <v>6</v>
      </c>
      <c r="HQ33" t="s">
        <v>6</v>
      </c>
      <c r="IF33">
        <v>-1</v>
      </c>
      <c r="IK33">
        <v>0</v>
      </c>
    </row>
    <row r="34" spans="1:247" x14ac:dyDescent="0.2">
      <c r="A34">
        <v>17</v>
      </c>
      <c r="B34">
        <v>1</v>
      </c>
      <c r="C34">
        <f>ROW(SmtRes!A26)</f>
        <v>26</v>
      </c>
      <c r="D34">
        <f>ROW(EtalonRes!A26)</f>
        <v>26</v>
      </c>
      <c r="E34" t="s">
        <v>78</v>
      </c>
      <c r="F34" t="s">
        <v>79</v>
      </c>
      <c r="G34" t="s">
        <v>80</v>
      </c>
      <c r="H34" t="s">
        <v>81</v>
      </c>
      <c r="I34">
        <f>'2.Лок.смета.и.Акт в ЕР'!E109</f>
        <v>4.42</v>
      </c>
      <c r="J34">
        <v>0</v>
      </c>
      <c r="K34">
        <f>ROUND(442/100,7)</f>
        <v>4.42</v>
      </c>
      <c r="O34" t="e">
        <f t="shared" si="23"/>
        <v>#REF!</v>
      </c>
      <c r="P34" t="e">
        <f t="shared" si="24"/>
        <v>#REF!</v>
      </c>
      <c r="Q34" t="e">
        <f t="shared" si="25"/>
        <v>#REF!</v>
      </c>
      <c r="R34" t="e">
        <f t="shared" si="26"/>
        <v>#REF!</v>
      </c>
      <c r="S34" t="e">
        <f t="shared" si="27"/>
        <v>#REF!</v>
      </c>
      <c r="T34">
        <f t="shared" si="28"/>
        <v>0</v>
      </c>
      <c r="U34">
        <f t="shared" si="29"/>
        <v>131.18559999999999</v>
      </c>
      <c r="V34">
        <f t="shared" si="30"/>
        <v>20.420400000000001</v>
      </c>
      <c r="W34">
        <f t="shared" si="31"/>
        <v>0</v>
      </c>
      <c r="X34" t="e">
        <f t="shared" si="32"/>
        <v>#REF!</v>
      </c>
      <c r="Y34" t="e">
        <f t="shared" si="33"/>
        <v>#REF!</v>
      </c>
      <c r="AA34">
        <v>67643165</v>
      </c>
      <c r="AB34" t="e">
        <f t="shared" si="34"/>
        <v>#REF!</v>
      </c>
      <c r="AC34" t="e">
        <f t="shared" si="35"/>
        <v>#REF!</v>
      </c>
      <c r="AD34" t="e">
        <f t="shared" si="36"/>
        <v>#REF!</v>
      </c>
      <c r="AE34" t="e">
        <f t="shared" si="52"/>
        <v>#REF!</v>
      </c>
      <c r="AF34" t="e">
        <f t="shared" si="54"/>
        <v>#REF!</v>
      </c>
      <c r="AG34">
        <f t="shared" si="37"/>
        <v>0</v>
      </c>
      <c r="AH34">
        <f t="shared" si="55"/>
        <v>29.68</v>
      </c>
      <c r="AI34">
        <f t="shared" si="53"/>
        <v>4.62</v>
      </c>
      <c r="AJ34">
        <f t="shared" si="38"/>
        <v>0</v>
      </c>
      <c r="AK34" t="e">
        <f>AL34+AM34+AO34</f>
        <v>#REF!</v>
      </c>
      <c r="AL34" s="67" t="e">
        <f>'1.Лок.смета.и.Акт'!#REF!</f>
        <v>#REF!</v>
      </c>
      <c r="AM34" s="67" t="e">
        <f>'1.Лок.смета.и.Акт'!#REF!</f>
        <v>#REF!</v>
      </c>
      <c r="AN34" s="67" t="e">
        <f>'1.Лок.смета.и.Акт'!#REF!</f>
        <v>#REF!</v>
      </c>
      <c r="AO34" s="67" t="e">
        <f>'1.Лок.смета.и.Акт'!#REF!</f>
        <v>#REF!</v>
      </c>
      <c r="AP34">
        <v>0</v>
      </c>
      <c r="AQ34">
        <f>'2.Лок.смета.и.Акт в ЕР'!E117</f>
        <v>29.68</v>
      </c>
      <c r="AR34">
        <v>4.62</v>
      </c>
      <c r="AS34">
        <v>0</v>
      </c>
      <c r="AT34">
        <v>117</v>
      </c>
      <c r="AU34">
        <v>74</v>
      </c>
      <c r="AV34">
        <v>1</v>
      </c>
      <c r="AW34">
        <v>1</v>
      </c>
      <c r="AZ34">
        <v>1</v>
      </c>
      <c r="BA34" t="e">
        <f>'1.Лок.смета.и.Акт'!#REF!</f>
        <v>#REF!</v>
      </c>
      <c r="BB34" t="e">
        <f>'1.Лок.смета.и.Акт'!#REF!</f>
        <v>#REF!</v>
      </c>
      <c r="BC34" t="e">
        <f>'1.Лок.смета.и.Акт'!#REF!</f>
        <v>#REF!</v>
      </c>
      <c r="BD34" t="s">
        <v>6</v>
      </c>
      <c r="BE34" t="s">
        <v>6</v>
      </c>
      <c r="BF34" t="s">
        <v>6</v>
      </c>
      <c r="BG34" t="s">
        <v>6</v>
      </c>
      <c r="BH34">
        <v>0</v>
      </c>
      <c r="BI34">
        <v>1</v>
      </c>
      <c r="BJ34" t="s">
        <v>82</v>
      </c>
      <c r="BM34">
        <v>23001</v>
      </c>
      <c r="BN34">
        <v>0</v>
      </c>
      <c r="BO34" t="s">
        <v>6</v>
      </c>
      <c r="BP34">
        <v>0</v>
      </c>
      <c r="BQ34">
        <v>2</v>
      </c>
      <c r="BR34">
        <v>0</v>
      </c>
      <c r="BS34" t="e">
        <f>'1.Лок.смета.и.Акт'!#REF!</f>
        <v>#REF!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6</v>
      </c>
      <c r="BZ34">
        <v>117</v>
      </c>
      <c r="CA34">
        <v>74</v>
      </c>
      <c r="CB34" t="s">
        <v>6</v>
      </c>
      <c r="CE34">
        <v>0</v>
      </c>
      <c r="CF34">
        <v>0</v>
      </c>
      <c r="CG34">
        <v>0</v>
      </c>
      <c r="CM34">
        <v>0</v>
      </c>
      <c r="CN34" t="s">
        <v>6</v>
      </c>
      <c r="CO34">
        <v>0</v>
      </c>
      <c r="CP34" t="e">
        <f t="shared" si="39"/>
        <v>#REF!</v>
      </c>
      <c r="CQ34" t="e">
        <f t="shared" si="40"/>
        <v>#REF!</v>
      </c>
      <c r="CR34" t="e">
        <f t="shared" si="41"/>
        <v>#REF!</v>
      </c>
      <c r="CS34" t="e">
        <f t="shared" si="42"/>
        <v>#REF!</v>
      </c>
      <c r="CT34" t="e">
        <f t="shared" si="43"/>
        <v>#REF!</v>
      </c>
      <c r="CU34">
        <f t="shared" si="44"/>
        <v>0</v>
      </c>
      <c r="CV34">
        <f t="shared" si="45"/>
        <v>29.68</v>
      </c>
      <c r="CW34">
        <f t="shared" si="46"/>
        <v>4.62</v>
      </c>
      <c r="CX34">
        <f t="shared" si="47"/>
        <v>0</v>
      </c>
      <c r="CY34" t="e">
        <f>(((S34+R34)*AT34)/100)</f>
        <v>#REF!</v>
      </c>
      <c r="CZ34" t="e">
        <f>(((S34+R34)*AU34)/100)</f>
        <v>#REF!</v>
      </c>
      <c r="DC34" t="s">
        <v>6</v>
      </c>
      <c r="DD34" t="s">
        <v>6</v>
      </c>
      <c r="DE34" t="s">
        <v>6</v>
      </c>
      <c r="DF34" t="s">
        <v>6</v>
      </c>
      <c r="DG34" t="s">
        <v>6</v>
      </c>
      <c r="DH34" t="s">
        <v>6</v>
      </c>
      <c r="DI34" t="s">
        <v>6</v>
      </c>
      <c r="DJ34" t="s">
        <v>6</v>
      </c>
      <c r="DK34" t="s">
        <v>6</v>
      </c>
      <c r="DL34" t="s">
        <v>6</v>
      </c>
      <c r="DM34" t="s">
        <v>6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81</v>
      </c>
      <c r="DW34" t="str">
        <f>'2.Лок.смета.и.Акт в ЕР'!D109</f>
        <v>100 м</v>
      </c>
      <c r="DX34">
        <v>100</v>
      </c>
      <c r="DZ34" t="s">
        <v>6</v>
      </c>
      <c r="EA34" t="s">
        <v>6</v>
      </c>
      <c r="EB34" t="s">
        <v>6</v>
      </c>
      <c r="EC34" t="s">
        <v>6</v>
      </c>
      <c r="EE34">
        <v>59670359</v>
      </c>
      <c r="EF34">
        <v>2</v>
      </c>
      <c r="EG34" t="s">
        <v>23</v>
      </c>
      <c r="EH34">
        <v>18</v>
      </c>
      <c r="EI34" t="s">
        <v>70</v>
      </c>
      <c r="EJ34">
        <v>1</v>
      </c>
      <c r="EK34">
        <v>23001</v>
      </c>
      <c r="EL34" t="s">
        <v>70</v>
      </c>
      <c r="EM34" t="s">
        <v>71</v>
      </c>
      <c r="EO34" t="s">
        <v>6</v>
      </c>
      <c r="EQ34">
        <v>131072</v>
      </c>
      <c r="ER34" t="e">
        <f>ES34+ET34+EV34</f>
        <v>#REF!</v>
      </c>
      <c r="ES34" s="67" t="e">
        <f>'1.Лок.смета.и.Акт'!#REF!</f>
        <v>#REF!</v>
      </c>
      <c r="ET34" s="67" t="e">
        <f>'1.Лок.смета.и.Акт'!#REF!</f>
        <v>#REF!</v>
      </c>
      <c r="EU34" s="67" t="e">
        <f>'1.Лок.смета.и.Акт'!#REF!</f>
        <v>#REF!</v>
      </c>
      <c r="EV34" s="67" t="e">
        <f>'1.Лок.смета.и.Акт'!#REF!</f>
        <v>#REF!</v>
      </c>
      <c r="EW34">
        <f>'2.Лок.смета.и.Акт в ЕР'!E117</f>
        <v>29.68</v>
      </c>
      <c r="EX34">
        <v>4.62</v>
      </c>
      <c r="EY34">
        <v>0</v>
      </c>
      <c r="FQ34">
        <v>0</v>
      </c>
      <c r="FR34">
        <f t="shared" si="16"/>
        <v>0</v>
      </c>
      <c r="FS34">
        <v>0</v>
      </c>
      <c r="FX34">
        <v>117</v>
      </c>
      <c r="FY34">
        <v>74</v>
      </c>
      <c r="GA34" t="s">
        <v>6</v>
      </c>
      <c r="GD34">
        <v>1</v>
      </c>
      <c r="GF34">
        <v>-1679115099</v>
      </c>
      <c r="GG34">
        <v>2</v>
      </c>
      <c r="GH34">
        <v>1</v>
      </c>
      <c r="GI34">
        <v>4</v>
      </c>
      <c r="GJ34">
        <v>0</v>
      </c>
      <c r="GK34">
        <v>0</v>
      </c>
      <c r="GL34">
        <f t="shared" si="17"/>
        <v>0</v>
      </c>
      <c r="GM34" t="e">
        <f t="shared" si="48"/>
        <v>#REF!</v>
      </c>
      <c r="GN34" t="e">
        <f t="shared" si="18"/>
        <v>#REF!</v>
      </c>
      <c r="GO34">
        <f t="shared" si="19"/>
        <v>0</v>
      </c>
      <c r="GP34">
        <f t="shared" si="20"/>
        <v>0</v>
      </c>
      <c r="GR34">
        <v>0</v>
      </c>
      <c r="GS34">
        <v>3</v>
      </c>
      <c r="GT34">
        <v>0</v>
      </c>
      <c r="GU34" t="s">
        <v>6</v>
      </c>
      <c r="GV34">
        <f t="shared" si="49"/>
        <v>0</v>
      </c>
      <c r="GW34">
        <v>1</v>
      </c>
      <c r="GX34">
        <f t="shared" si="50"/>
        <v>0</v>
      </c>
      <c r="HA34">
        <v>0</v>
      </c>
      <c r="HB34">
        <v>0</v>
      </c>
      <c r="HC34">
        <f t="shared" si="51"/>
        <v>0</v>
      </c>
      <c r="HE34" t="s">
        <v>6</v>
      </c>
      <c r="HF34" t="s">
        <v>6</v>
      </c>
      <c r="HM34" t="s">
        <v>6</v>
      </c>
      <c r="HN34" t="s">
        <v>72</v>
      </c>
      <c r="HO34" t="s">
        <v>73</v>
      </c>
      <c r="HP34" t="s">
        <v>70</v>
      </c>
      <c r="HQ34" t="s">
        <v>70</v>
      </c>
      <c r="IF34">
        <v>-1</v>
      </c>
      <c r="IK34">
        <v>0</v>
      </c>
      <c r="IL34" t="s">
        <v>517</v>
      </c>
      <c r="IM34">
        <v>4.42</v>
      </c>
    </row>
    <row r="35" spans="1:247" x14ac:dyDescent="0.2">
      <c r="A35">
        <v>18</v>
      </c>
      <c r="B35">
        <v>1</v>
      </c>
      <c r="C35">
        <v>26</v>
      </c>
      <c r="E35" t="s">
        <v>83</v>
      </c>
      <c r="F35" t="str">
        <f>'2.Лок.смета.и.Акт в ЕР'!B118</f>
        <v>Прайс</v>
      </c>
      <c r="G35" t="s">
        <v>85</v>
      </c>
      <c r="H35" t="s">
        <v>86</v>
      </c>
      <c r="I35">
        <f>I34*J35</f>
        <v>442</v>
      </c>
      <c r="J35" s="211">
        <f>'6.Ведомость_списания'!F37</f>
        <v>100</v>
      </c>
      <c r="K35">
        <v>100</v>
      </c>
      <c r="O35" t="e">
        <f t="shared" si="23"/>
        <v>#REF!</v>
      </c>
      <c r="P35" t="e">
        <f t="shared" si="24"/>
        <v>#REF!</v>
      </c>
      <c r="Q35">
        <f t="shared" si="25"/>
        <v>0</v>
      </c>
      <c r="R35">
        <f t="shared" si="26"/>
        <v>0</v>
      </c>
      <c r="S35">
        <f t="shared" si="27"/>
        <v>0</v>
      </c>
      <c r="T35">
        <f t="shared" si="28"/>
        <v>0</v>
      </c>
      <c r="U35">
        <f t="shared" si="29"/>
        <v>0</v>
      </c>
      <c r="V35">
        <f t="shared" si="30"/>
        <v>0</v>
      </c>
      <c r="W35">
        <f t="shared" si="31"/>
        <v>0</v>
      </c>
      <c r="X35">
        <f t="shared" si="32"/>
        <v>0</v>
      </c>
      <c r="Y35">
        <f t="shared" si="33"/>
        <v>0</v>
      </c>
      <c r="AA35">
        <v>67643165</v>
      </c>
      <c r="AB35" t="e">
        <f t="shared" si="34"/>
        <v>#REF!</v>
      </c>
      <c r="AC35" t="e">
        <f t="shared" si="35"/>
        <v>#REF!</v>
      </c>
      <c r="AD35">
        <f t="shared" si="36"/>
        <v>0</v>
      </c>
      <c r="AE35">
        <f t="shared" si="52"/>
        <v>0</v>
      </c>
      <c r="AF35">
        <f t="shared" si="54"/>
        <v>0</v>
      </c>
      <c r="AG35">
        <f t="shared" si="37"/>
        <v>0</v>
      </c>
      <c r="AH35">
        <f t="shared" si="55"/>
        <v>0</v>
      </c>
      <c r="AI35">
        <f t="shared" si="53"/>
        <v>0</v>
      </c>
      <c r="AJ35">
        <f t="shared" si="38"/>
        <v>0</v>
      </c>
      <c r="AK35">
        <v>1332.38</v>
      </c>
      <c r="AL35" s="67" t="e">
        <f>'1.Лок.смета.и.Акт'!#REF!</f>
        <v>#REF!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125</v>
      </c>
      <c r="AU35">
        <v>65</v>
      </c>
      <c r="AV35">
        <v>1</v>
      </c>
      <c r="AW35">
        <v>1</v>
      </c>
      <c r="AZ35">
        <v>1</v>
      </c>
      <c r="BA35">
        <v>1</v>
      </c>
      <c r="BB35">
        <v>1</v>
      </c>
      <c r="BC35" t="e">
        <f>'1.Лок.смета.и.Акт'!#REF!</f>
        <v>#REF!</v>
      </c>
      <c r="BD35" t="s">
        <v>6</v>
      </c>
      <c r="BE35" t="s">
        <v>6</v>
      </c>
      <c r="BF35" t="s">
        <v>6</v>
      </c>
      <c r="BG35" t="s">
        <v>6</v>
      </c>
      <c r="BH35">
        <v>3</v>
      </c>
      <c r="BI35">
        <v>4</v>
      </c>
      <c r="BJ35" t="s">
        <v>6</v>
      </c>
      <c r="BM35">
        <v>0</v>
      </c>
      <c r="BN35">
        <v>0</v>
      </c>
      <c r="BO35" t="s">
        <v>6</v>
      </c>
      <c r="BP35">
        <v>0</v>
      </c>
      <c r="BQ35">
        <v>16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6</v>
      </c>
      <c r="BZ35">
        <v>125</v>
      </c>
      <c r="CA35">
        <v>65</v>
      </c>
      <c r="CB35" t="s">
        <v>6</v>
      </c>
      <c r="CE35">
        <v>0</v>
      </c>
      <c r="CF35">
        <v>0</v>
      </c>
      <c r="CG35">
        <v>0</v>
      </c>
      <c r="CM35">
        <v>0</v>
      </c>
      <c r="CN35" t="s">
        <v>6</v>
      </c>
      <c r="CO35">
        <v>0</v>
      </c>
      <c r="CP35" t="e">
        <f t="shared" si="39"/>
        <v>#REF!</v>
      </c>
      <c r="CQ35" t="e">
        <f>AC35</f>
        <v>#REF!</v>
      </c>
      <c r="CR35">
        <f>(((ET35)-(EU35)*BS35)+AE35*BS35)</f>
        <v>0</v>
      </c>
      <c r="CS35">
        <f t="shared" si="42"/>
        <v>0</v>
      </c>
      <c r="CT35">
        <f t="shared" si="43"/>
        <v>0</v>
      </c>
      <c r="CU35">
        <f t="shared" si="44"/>
        <v>0</v>
      </c>
      <c r="CV35">
        <f t="shared" si="45"/>
        <v>0</v>
      </c>
      <c r="CW35">
        <f t="shared" si="46"/>
        <v>0</v>
      </c>
      <c r="CX35">
        <f t="shared" si="47"/>
        <v>0</v>
      </c>
      <c r="CY35">
        <f>(((S35+R35)*AT35)/100)</f>
        <v>0</v>
      </c>
      <c r="CZ35">
        <f>(((S35+R35)*AU35)/100)</f>
        <v>0</v>
      </c>
      <c r="DC35" t="s">
        <v>6</v>
      </c>
      <c r="DD35" t="s">
        <v>6</v>
      </c>
      <c r="DE35" t="s">
        <v>6</v>
      </c>
      <c r="DF35" t="s">
        <v>6</v>
      </c>
      <c r="DG35" t="s">
        <v>6</v>
      </c>
      <c r="DH35" t="s">
        <v>6</v>
      </c>
      <c r="DI35" t="s">
        <v>6</v>
      </c>
      <c r="DJ35" t="s">
        <v>6</v>
      </c>
      <c r="DK35" t="s">
        <v>6</v>
      </c>
      <c r="DL35" t="s">
        <v>6</v>
      </c>
      <c r="DM35" t="s">
        <v>6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86</v>
      </c>
      <c r="DW35" t="str">
        <f>'2.Лок.смета.и.Акт в ЕР'!D118</f>
        <v>м</v>
      </c>
      <c r="DX35">
        <v>1</v>
      </c>
      <c r="DZ35" t="s">
        <v>6</v>
      </c>
      <c r="EA35" t="s">
        <v>6</v>
      </c>
      <c r="EB35" t="s">
        <v>6</v>
      </c>
      <c r="EC35" t="s">
        <v>6</v>
      </c>
      <c r="EE35">
        <v>59670236</v>
      </c>
      <c r="EF35">
        <v>16</v>
      </c>
      <c r="EG35" t="s">
        <v>87</v>
      </c>
      <c r="EH35">
        <v>0</v>
      </c>
      <c r="EI35" t="s">
        <v>6</v>
      </c>
      <c r="EJ35">
        <v>4</v>
      </c>
      <c r="EK35">
        <v>0</v>
      </c>
      <c r="EL35" t="s">
        <v>88</v>
      </c>
      <c r="EM35" t="s">
        <v>89</v>
      </c>
      <c r="EO35" t="s">
        <v>6</v>
      </c>
      <c r="EQ35">
        <v>0</v>
      </c>
      <c r="ER35">
        <v>1332.38</v>
      </c>
      <c r="ES35" s="67" t="e">
        <f>'1.Лок.смета.и.Акт'!#REF!</f>
        <v>#REF!</v>
      </c>
      <c r="ET35">
        <v>0</v>
      </c>
      <c r="EU35">
        <v>0</v>
      </c>
      <c r="EV35">
        <v>0</v>
      </c>
      <c r="EW35">
        <v>0</v>
      </c>
      <c r="EX35">
        <v>0</v>
      </c>
      <c r="EZ35">
        <v>5</v>
      </c>
      <c r="FC35">
        <v>0</v>
      </c>
      <c r="FD35">
        <v>18</v>
      </c>
      <c r="FF35">
        <v>1306.25</v>
      </c>
      <c r="FQ35">
        <v>0</v>
      </c>
      <c r="FR35">
        <f t="shared" si="16"/>
        <v>0</v>
      </c>
      <c r="FS35">
        <v>0</v>
      </c>
      <c r="FX35">
        <v>125</v>
      </c>
      <c r="FY35">
        <v>65</v>
      </c>
      <c r="GA35" t="s">
        <v>90</v>
      </c>
      <c r="GD35">
        <v>1</v>
      </c>
      <c r="GF35">
        <v>1267570958</v>
      </c>
      <c r="GG35">
        <v>2</v>
      </c>
      <c r="GH35">
        <v>3</v>
      </c>
      <c r="GI35">
        <v>4</v>
      </c>
      <c r="GJ35">
        <v>0</v>
      </c>
      <c r="GK35">
        <v>0</v>
      </c>
      <c r="GL35">
        <f t="shared" si="17"/>
        <v>0</v>
      </c>
      <c r="GM35" t="e">
        <f t="shared" si="48"/>
        <v>#REF!</v>
      </c>
      <c r="GN35">
        <f t="shared" si="18"/>
        <v>0</v>
      </c>
      <c r="GO35">
        <f t="shared" si="19"/>
        <v>0</v>
      </c>
      <c r="GP35" t="e">
        <f t="shared" si="20"/>
        <v>#REF!</v>
      </c>
      <c r="GR35">
        <v>1</v>
      </c>
      <c r="GS35">
        <v>1</v>
      </c>
      <c r="GT35">
        <v>0</v>
      </c>
      <c r="GU35" t="s">
        <v>6</v>
      </c>
      <c r="GV35">
        <f t="shared" si="49"/>
        <v>0</v>
      </c>
      <c r="GW35">
        <v>1</v>
      </c>
      <c r="GX35">
        <f t="shared" si="50"/>
        <v>0</v>
      </c>
      <c r="HA35">
        <v>0</v>
      </c>
      <c r="HB35">
        <v>0</v>
      </c>
      <c r="HC35">
        <f t="shared" si="51"/>
        <v>0</v>
      </c>
      <c r="HE35" t="s">
        <v>91</v>
      </c>
      <c r="HF35" t="s">
        <v>38</v>
      </c>
      <c r="HG35" t="e">
        <f>ROUND(AC35*I35,2)</f>
        <v>#REF!</v>
      </c>
      <c r="HM35" t="s">
        <v>6</v>
      </c>
      <c r="HN35" t="s">
        <v>6</v>
      </c>
      <c r="HO35" t="s">
        <v>6</v>
      </c>
      <c r="HP35" t="s">
        <v>6</v>
      </c>
      <c r="HQ35" t="s">
        <v>6</v>
      </c>
      <c r="IF35">
        <v>-1</v>
      </c>
      <c r="IK35">
        <v>0</v>
      </c>
    </row>
    <row r="36" spans="1:247" x14ac:dyDescent="0.2">
      <c r="A36">
        <v>17</v>
      </c>
      <c r="B36">
        <v>1</v>
      </c>
      <c r="C36">
        <f>ROW(SmtRes!A50)</f>
        <v>50</v>
      </c>
      <c r="D36">
        <f>ROW(EtalonRes!A45)</f>
        <v>45</v>
      </c>
      <c r="E36" t="s">
        <v>92</v>
      </c>
      <c r="F36" t="s">
        <v>93</v>
      </c>
      <c r="G36" t="s">
        <v>94</v>
      </c>
      <c r="H36" t="s">
        <v>68</v>
      </c>
      <c r="I36">
        <f>'2.Лок.смета.и.Акт в ЕР'!E123</f>
        <v>1.95</v>
      </c>
      <c r="J36">
        <v>0</v>
      </c>
      <c r="K36">
        <f>ROUND(19.5/10,7)</f>
        <v>1.95</v>
      </c>
      <c r="O36" t="e">
        <f t="shared" si="23"/>
        <v>#REF!</v>
      </c>
      <c r="P36" t="e">
        <f t="shared" si="24"/>
        <v>#REF!</v>
      </c>
      <c r="Q36" t="e">
        <f t="shared" si="25"/>
        <v>#REF!</v>
      </c>
      <c r="R36" t="e">
        <f t="shared" si="26"/>
        <v>#REF!</v>
      </c>
      <c r="S36" t="e">
        <f t="shared" si="27"/>
        <v>#REF!</v>
      </c>
      <c r="T36">
        <f t="shared" si="28"/>
        <v>0</v>
      </c>
      <c r="U36">
        <f t="shared" si="29"/>
        <v>309.42599999999999</v>
      </c>
      <c r="V36">
        <f t="shared" si="30"/>
        <v>43.660499999999999</v>
      </c>
      <c r="W36">
        <f t="shared" si="31"/>
        <v>0</v>
      </c>
      <c r="X36" t="e">
        <f t="shared" si="32"/>
        <v>#REF!</v>
      </c>
      <c r="Y36" t="e">
        <f t="shared" si="33"/>
        <v>#REF!</v>
      </c>
      <c r="AA36">
        <v>67643165</v>
      </c>
      <c r="AB36" t="e">
        <f t="shared" si="34"/>
        <v>#REF!</v>
      </c>
      <c r="AC36" t="e">
        <f t="shared" si="35"/>
        <v>#REF!</v>
      </c>
      <c r="AD36" t="e">
        <f t="shared" si="36"/>
        <v>#REF!</v>
      </c>
      <c r="AE36" t="e">
        <f t="shared" si="52"/>
        <v>#REF!</v>
      </c>
      <c r="AF36" t="e">
        <f t="shared" si="54"/>
        <v>#REF!</v>
      </c>
      <c r="AG36">
        <f t="shared" si="37"/>
        <v>0</v>
      </c>
      <c r="AH36">
        <f t="shared" si="55"/>
        <v>158.68</v>
      </c>
      <c r="AI36">
        <f t="shared" si="53"/>
        <v>22.39</v>
      </c>
      <c r="AJ36">
        <f t="shared" si="38"/>
        <v>0</v>
      </c>
      <c r="AK36" t="e">
        <f>AL36+AM36+AO36</f>
        <v>#REF!</v>
      </c>
      <c r="AL36" s="67" t="e">
        <f>'1.Лок.смета.и.Акт'!#REF!</f>
        <v>#REF!</v>
      </c>
      <c r="AM36" s="67" t="e">
        <f>'1.Лок.смета.и.Акт'!#REF!</f>
        <v>#REF!</v>
      </c>
      <c r="AN36" s="67" t="e">
        <f>'1.Лок.смета.и.Акт'!#REF!</f>
        <v>#REF!</v>
      </c>
      <c r="AO36" s="67" t="e">
        <f>'1.Лок.смета.и.Акт'!#REF!</f>
        <v>#REF!</v>
      </c>
      <c r="AP36">
        <v>0</v>
      </c>
      <c r="AQ36">
        <f>'2.Лок.смета.и.Акт в ЕР'!E131</f>
        <v>158.68</v>
      </c>
      <c r="AR36">
        <v>22.39</v>
      </c>
      <c r="AS36">
        <v>0</v>
      </c>
      <c r="AT36">
        <v>117</v>
      </c>
      <c r="AU36">
        <v>74</v>
      </c>
      <c r="AV36">
        <v>1</v>
      </c>
      <c r="AW36">
        <v>1</v>
      </c>
      <c r="AZ36">
        <v>1</v>
      </c>
      <c r="BA36" t="e">
        <f>'1.Лок.смета.и.Акт'!#REF!</f>
        <v>#REF!</v>
      </c>
      <c r="BB36" t="e">
        <f>'1.Лок.смета.и.Акт'!#REF!</f>
        <v>#REF!</v>
      </c>
      <c r="BC36" t="e">
        <f>'1.Лок.смета.и.Акт'!#REF!</f>
        <v>#REF!</v>
      </c>
      <c r="BD36" t="s">
        <v>6</v>
      </c>
      <c r="BE36" t="s">
        <v>6</v>
      </c>
      <c r="BF36" t="s">
        <v>6</v>
      </c>
      <c r="BG36" t="s">
        <v>6</v>
      </c>
      <c r="BH36">
        <v>0</v>
      </c>
      <c r="BI36">
        <v>1</v>
      </c>
      <c r="BJ36" t="s">
        <v>95</v>
      </c>
      <c r="BM36">
        <v>23001</v>
      </c>
      <c r="BN36">
        <v>0</v>
      </c>
      <c r="BO36" t="s">
        <v>6</v>
      </c>
      <c r="BP36">
        <v>0</v>
      </c>
      <c r="BQ36">
        <v>2</v>
      </c>
      <c r="BR36">
        <v>0</v>
      </c>
      <c r="BS36" t="e">
        <f>'1.Лок.смета.и.Акт'!#REF!</f>
        <v>#REF!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6</v>
      </c>
      <c r="BZ36">
        <v>117</v>
      </c>
      <c r="CA36">
        <v>74</v>
      </c>
      <c r="CB36" t="s">
        <v>6</v>
      </c>
      <c r="CE36">
        <v>0</v>
      </c>
      <c r="CF36">
        <v>0</v>
      </c>
      <c r="CG36">
        <v>0</v>
      </c>
      <c r="CM36">
        <v>0</v>
      </c>
      <c r="CN36" t="s">
        <v>6</v>
      </c>
      <c r="CO36">
        <v>0</v>
      </c>
      <c r="CP36" t="e">
        <f t="shared" si="39"/>
        <v>#REF!</v>
      </c>
      <c r="CQ36" t="e">
        <f t="shared" ref="CQ36:CQ45" si="56">AC36*BC36</f>
        <v>#REF!</v>
      </c>
      <c r="CR36" t="e">
        <f t="shared" ref="CR36:CR45" si="57">(((ET36)*BB36-(EU36)*BS36)+AE36*BS36)</f>
        <v>#REF!</v>
      </c>
      <c r="CS36" t="e">
        <f t="shared" si="42"/>
        <v>#REF!</v>
      </c>
      <c r="CT36" t="e">
        <f t="shared" si="43"/>
        <v>#REF!</v>
      </c>
      <c r="CU36">
        <f t="shared" si="44"/>
        <v>0</v>
      </c>
      <c r="CV36">
        <f t="shared" si="45"/>
        <v>158.68</v>
      </c>
      <c r="CW36">
        <f t="shared" si="46"/>
        <v>22.39</v>
      </c>
      <c r="CX36">
        <f t="shared" si="47"/>
        <v>0</v>
      </c>
      <c r="CY36" t="e">
        <f>(((S36+R36)*AT36)/100)</f>
        <v>#REF!</v>
      </c>
      <c r="CZ36" t="e">
        <f>(((S36+R36)*AU36)/100)</f>
        <v>#REF!</v>
      </c>
      <c r="DC36" t="s">
        <v>6</v>
      </c>
      <c r="DD36" t="s">
        <v>6</v>
      </c>
      <c r="DE36" t="s">
        <v>6</v>
      </c>
      <c r="DF36" t="s">
        <v>6</v>
      </c>
      <c r="DG36" t="s">
        <v>6</v>
      </c>
      <c r="DH36" t="s">
        <v>6</v>
      </c>
      <c r="DI36" t="s">
        <v>6</v>
      </c>
      <c r="DJ36" t="s">
        <v>6</v>
      </c>
      <c r="DK36" t="s">
        <v>6</v>
      </c>
      <c r="DL36" t="s">
        <v>6</v>
      </c>
      <c r="DM36" t="s">
        <v>6</v>
      </c>
      <c r="DN36">
        <v>0</v>
      </c>
      <c r="DO36">
        <v>0</v>
      </c>
      <c r="DP36">
        <v>1</v>
      </c>
      <c r="DQ36">
        <v>1</v>
      </c>
      <c r="DU36">
        <v>1007</v>
      </c>
      <c r="DV36" t="s">
        <v>68</v>
      </c>
      <c r="DW36" t="str">
        <f>'2.Лок.смета.и.Акт в ЕР'!D123</f>
        <v>10 м3</v>
      </c>
      <c r="DX36">
        <v>10</v>
      </c>
      <c r="DZ36" t="s">
        <v>6</v>
      </c>
      <c r="EA36" t="s">
        <v>6</v>
      </c>
      <c r="EB36" t="s">
        <v>6</v>
      </c>
      <c r="EC36" t="s">
        <v>6</v>
      </c>
      <c r="EE36">
        <v>59670359</v>
      </c>
      <c r="EF36">
        <v>2</v>
      </c>
      <c r="EG36" t="s">
        <v>23</v>
      </c>
      <c r="EH36">
        <v>18</v>
      </c>
      <c r="EI36" t="s">
        <v>70</v>
      </c>
      <c r="EJ36">
        <v>1</v>
      </c>
      <c r="EK36">
        <v>23001</v>
      </c>
      <c r="EL36" t="s">
        <v>70</v>
      </c>
      <c r="EM36" t="s">
        <v>71</v>
      </c>
      <c r="EO36" t="s">
        <v>6</v>
      </c>
      <c r="EQ36">
        <v>0</v>
      </c>
      <c r="ER36" t="e">
        <f>ES36+ET36+EV36</f>
        <v>#REF!</v>
      </c>
      <c r="ES36" s="67" t="e">
        <f>'1.Лок.смета.и.Акт'!#REF!</f>
        <v>#REF!</v>
      </c>
      <c r="ET36" s="67" t="e">
        <f>'1.Лок.смета.и.Акт'!#REF!</f>
        <v>#REF!</v>
      </c>
      <c r="EU36" s="67" t="e">
        <f>'1.Лок.смета.и.Акт'!#REF!</f>
        <v>#REF!</v>
      </c>
      <c r="EV36" s="67" t="e">
        <f>'1.Лок.смета.и.Акт'!#REF!</f>
        <v>#REF!</v>
      </c>
      <c r="EW36">
        <f>'2.Лок.смета.и.Акт в ЕР'!E131</f>
        <v>158.68</v>
      </c>
      <c r="EX36">
        <v>22.39</v>
      </c>
      <c r="EY36">
        <v>0</v>
      </c>
      <c r="FQ36">
        <v>0</v>
      </c>
      <c r="FR36">
        <f t="shared" si="16"/>
        <v>0</v>
      </c>
      <c r="FS36">
        <v>0</v>
      </c>
      <c r="FX36">
        <v>117</v>
      </c>
      <c r="FY36">
        <v>74</v>
      </c>
      <c r="GA36" t="s">
        <v>6</v>
      </c>
      <c r="GD36">
        <v>1</v>
      </c>
      <c r="GF36">
        <v>610291113</v>
      </c>
      <c r="GG36">
        <v>2</v>
      </c>
      <c r="GH36">
        <v>1</v>
      </c>
      <c r="GI36">
        <v>4</v>
      </c>
      <c r="GJ36">
        <v>0</v>
      </c>
      <c r="GK36">
        <v>0</v>
      </c>
      <c r="GL36">
        <f t="shared" si="17"/>
        <v>0</v>
      </c>
      <c r="GM36" t="e">
        <f t="shared" si="48"/>
        <v>#REF!</v>
      </c>
      <c r="GN36" t="e">
        <f t="shared" si="18"/>
        <v>#REF!</v>
      </c>
      <c r="GO36">
        <f t="shared" si="19"/>
        <v>0</v>
      </c>
      <c r="GP36">
        <f t="shared" si="20"/>
        <v>0</v>
      </c>
      <c r="GR36">
        <v>0</v>
      </c>
      <c r="GS36">
        <v>3</v>
      </c>
      <c r="GT36">
        <v>0</v>
      </c>
      <c r="GU36" t="s">
        <v>6</v>
      </c>
      <c r="GV36">
        <f t="shared" si="49"/>
        <v>0</v>
      </c>
      <c r="GW36">
        <v>1</v>
      </c>
      <c r="GX36">
        <f t="shared" si="50"/>
        <v>0</v>
      </c>
      <c r="HA36">
        <v>0</v>
      </c>
      <c r="HB36">
        <v>0</v>
      </c>
      <c r="HC36">
        <f t="shared" si="51"/>
        <v>0</v>
      </c>
      <c r="HE36" t="s">
        <v>6</v>
      </c>
      <c r="HF36" t="s">
        <v>6</v>
      </c>
      <c r="HM36" t="s">
        <v>6</v>
      </c>
      <c r="HN36" t="s">
        <v>72</v>
      </c>
      <c r="HO36" t="s">
        <v>73</v>
      </c>
      <c r="HP36" t="s">
        <v>70</v>
      </c>
      <c r="HQ36" t="s">
        <v>70</v>
      </c>
      <c r="IF36">
        <v>-1</v>
      </c>
      <c r="IK36">
        <v>0</v>
      </c>
      <c r="IL36" t="s">
        <v>518</v>
      </c>
      <c r="IM36">
        <v>1.95</v>
      </c>
    </row>
    <row r="37" spans="1:247" x14ac:dyDescent="0.2">
      <c r="A37">
        <v>18</v>
      </c>
      <c r="B37">
        <v>1</v>
      </c>
      <c r="C37">
        <v>47</v>
      </c>
      <c r="E37" t="s">
        <v>96</v>
      </c>
      <c r="F37" t="str">
        <f>'2.Лок.смета.и.Акт в ЕР'!B132</f>
        <v>05.1.01.11-0044</v>
      </c>
      <c r="G37" t="s">
        <v>98</v>
      </c>
      <c r="H37" t="s">
        <v>99</v>
      </c>
      <c r="I37">
        <f>I36*J37</f>
        <v>15</v>
      </c>
      <c r="J37" s="211">
        <f>'6.Ведомость_списания'!F48</f>
        <v>7.6923076923076925</v>
      </c>
      <c r="K37">
        <v>7.6923076999999997</v>
      </c>
      <c r="O37" t="e">
        <f t="shared" si="23"/>
        <v>#REF!</v>
      </c>
      <c r="P37" t="e">
        <f t="shared" si="24"/>
        <v>#REF!</v>
      </c>
      <c r="Q37">
        <f t="shared" si="25"/>
        <v>0</v>
      </c>
      <c r="R37">
        <f t="shared" si="26"/>
        <v>0</v>
      </c>
      <c r="S37">
        <f t="shared" si="27"/>
        <v>0</v>
      </c>
      <c r="T37">
        <f t="shared" si="28"/>
        <v>0</v>
      </c>
      <c r="U37">
        <f t="shared" si="29"/>
        <v>0</v>
      </c>
      <c r="V37">
        <f t="shared" si="30"/>
        <v>0</v>
      </c>
      <c r="W37">
        <f t="shared" si="31"/>
        <v>0</v>
      </c>
      <c r="X37">
        <f t="shared" si="32"/>
        <v>0</v>
      </c>
      <c r="Y37">
        <f t="shared" si="33"/>
        <v>0</v>
      </c>
      <c r="AA37">
        <v>67643165</v>
      </c>
      <c r="AB37" t="e">
        <f t="shared" si="34"/>
        <v>#REF!</v>
      </c>
      <c r="AC37" t="e">
        <f t="shared" si="35"/>
        <v>#REF!</v>
      </c>
      <c r="AD37">
        <f t="shared" si="36"/>
        <v>0</v>
      </c>
      <c r="AE37">
        <f t="shared" si="52"/>
        <v>0</v>
      </c>
      <c r="AF37">
        <f t="shared" si="54"/>
        <v>0</v>
      </c>
      <c r="AG37">
        <f t="shared" si="37"/>
        <v>0</v>
      </c>
      <c r="AH37">
        <f t="shared" si="55"/>
        <v>0</v>
      </c>
      <c r="AI37">
        <f t="shared" si="53"/>
        <v>0</v>
      </c>
      <c r="AJ37">
        <f t="shared" si="38"/>
        <v>0</v>
      </c>
      <c r="AK37">
        <v>215.48</v>
      </c>
      <c r="AL37" s="67" t="e">
        <f>'1.Лок.смета.и.Акт'!#REF!</f>
        <v>#REF!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 t="e">
        <f>'1.Лок.смета.и.Акт'!#REF!</f>
        <v>#REF!</v>
      </c>
      <c r="BD37" t="s">
        <v>6</v>
      </c>
      <c r="BE37" t="s">
        <v>6</v>
      </c>
      <c r="BF37" t="s">
        <v>6</v>
      </c>
      <c r="BG37" t="s">
        <v>6</v>
      </c>
      <c r="BH37">
        <v>3</v>
      </c>
      <c r="BI37">
        <v>1</v>
      </c>
      <c r="BJ37" t="s">
        <v>100</v>
      </c>
      <c r="BM37">
        <v>500001</v>
      </c>
      <c r="BN37">
        <v>0</v>
      </c>
      <c r="BO37" t="s">
        <v>6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6</v>
      </c>
      <c r="BZ37">
        <v>0</v>
      </c>
      <c r="CA37">
        <v>0</v>
      </c>
      <c r="CB37" t="s">
        <v>6</v>
      </c>
      <c r="CE37">
        <v>0</v>
      </c>
      <c r="CF37">
        <v>0</v>
      </c>
      <c r="CG37">
        <v>0</v>
      </c>
      <c r="CM37">
        <v>0</v>
      </c>
      <c r="CN37" t="s">
        <v>6</v>
      </c>
      <c r="CO37">
        <v>0</v>
      </c>
      <c r="CP37" t="e">
        <f t="shared" si="39"/>
        <v>#REF!</v>
      </c>
      <c r="CQ37" t="e">
        <f t="shared" si="56"/>
        <v>#REF!</v>
      </c>
      <c r="CR37">
        <f t="shared" si="57"/>
        <v>0</v>
      </c>
      <c r="CS37">
        <f t="shared" si="42"/>
        <v>0</v>
      </c>
      <c r="CT37">
        <f t="shared" si="43"/>
        <v>0</v>
      </c>
      <c r="CU37">
        <f t="shared" si="44"/>
        <v>0</v>
      </c>
      <c r="CV37">
        <f t="shared" si="45"/>
        <v>0</v>
      </c>
      <c r="CW37">
        <f t="shared" si="46"/>
        <v>0</v>
      </c>
      <c r="CX37">
        <f t="shared" si="47"/>
        <v>0</v>
      </c>
      <c r="CY37">
        <f>0</f>
        <v>0</v>
      </c>
      <c r="CZ37">
        <f>0</f>
        <v>0</v>
      </c>
      <c r="DC37" t="s">
        <v>6</v>
      </c>
      <c r="DD37" t="s">
        <v>6</v>
      </c>
      <c r="DE37" t="s">
        <v>6</v>
      </c>
      <c r="DF37" t="s">
        <v>6</v>
      </c>
      <c r="DG37" t="s">
        <v>6</v>
      </c>
      <c r="DH37" t="s">
        <v>6</v>
      </c>
      <c r="DI37" t="s">
        <v>6</v>
      </c>
      <c r="DJ37" t="s">
        <v>6</v>
      </c>
      <c r="DK37" t="s">
        <v>6</v>
      </c>
      <c r="DL37" t="s">
        <v>6</v>
      </c>
      <c r="DM37" t="s">
        <v>6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99</v>
      </c>
      <c r="DW37" t="str">
        <f>'2.Лок.смета.и.Акт в ЕР'!D132</f>
        <v>ШТ</v>
      </c>
      <c r="DX37">
        <v>1</v>
      </c>
      <c r="DZ37" t="s">
        <v>6</v>
      </c>
      <c r="EA37" t="s">
        <v>6</v>
      </c>
      <c r="EB37" t="s">
        <v>6</v>
      </c>
      <c r="EC37" t="s">
        <v>6</v>
      </c>
      <c r="EE37">
        <v>59670228</v>
      </c>
      <c r="EF37">
        <v>8</v>
      </c>
      <c r="EG37" t="s">
        <v>35</v>
      </c>
      <c r="EH37">
        <v>0</v>
      </c>
      <c r="EI37" t="s">
        <v>6</v>
      </c>
      <c r="EJ37">
        <v>1</v>
      </c>
      <c r="EK37">
        <v>500001</v>
      </c>
      <c r="EL37" t="s">
        <v>36</v>
      </c>
      <c r="EM37" t="s">
        <v>37</v>
      </c>
      <c r="EO37" t="s">
        <v>6</v>
      </c>
      <c r="EQ37">
        <v>0</v>
      </c>
      <c r="ER37">
        <v>215.48</v>
      </c>
      <c r="ES37" s="67" t="e">
        <f>'1.Лок.смета.и.Акт'!#REF!</f>
        <v>#REF!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16"/>
        <v>0</v>
      </c>
      <c r="FS37">
        <v>0</v>
      </c>
      <c r="FX37">
        <v>0</v>
      </c>
      <c r="FY37">
        <v>0</v>
      </c>
      <c r="GA37" t="s">
        <v>6</v>
      </c>
      <c r="GD37">
        <v>1</v>
      </c>
      <c r="GF37">
        <v>1854240702</v>
      </c>
      <c r="GG37">
        <v>2</v>
      </c>
      <c r="GH37">
        <v>1</v>
      </c>
      <c r="GI37">
        <v>4</v>
      </c>
      <c r="GJ37">
        <v>0</v>
      </c>
      <c r="GK37">
        <v>0</v>
      </c>
      <c r="GL37">
        <f t="shared" si="17"/>
        <v>0</v>
      </c>
      <c r="GM37" t="e">
        <f t="shared" si="48"/>
        <v>#REF!</v>
      </c>
      <c r="GN37" t="e">
        <f t="shared" si="18"/>
        <v>#REF!</v>
      </c>
      <c r="GO37">
        <f t="shared" si="19"/>
        <v>0</v>
      </c>
      <c r="GP37">
        <f t="shared" si="20"/>
        <v>0</v>
      </c>
      <c r="GR37">
        <v>0</v>
      </c>
      <c r="GS37">
        <v>3</v>
      </c>
      <c r="GT37">
        <v>0</v>
      </c>
      <c r="GU37" t="s">
        <v>6</v>
      </c>
      <c r="GV37">
        <f t="shared" si="49"/>
        <v>0</v>
      </c>
      <c r="GW37">
        <v>1</v>
      </c>
      <c r="GX37">
        <f t="shared" si="50"/>
        <v>0</v>
      </c>
      <c r="HA37">
        <v>0</v>
      </c>
      <c r="HB37">
        <v>0</v>
      </c>
      <c r="HC37">
        <f t="shared" si="51"/>
        <v>0</v>
      </c>
      <c r="HE37" t="s">
        <v>6</v>
      </c>
      <c r="HF37" t="s">
        <v>6</v>
      </c>
      <c r="HM37" t="s">
        <v>6</v>
      </c>
      <c r="HN37" t="s">
        <v>6</v>
      </c>
      <c r="HO37" t="s">
        <v>6</v>
      </c>
      <c r="HP37" t="s">
        <v>6</v>
      </c>
      <c r="HQ37" t="s">
        <v>6</v>
      </c>
      <c r="IF37">
        <v>-1</v>
      </c>
      <c r="IK37">
        <v>0</v>
      </c>
    </row>
    <row r="38" spans="1:247" x14ac:dyDescent="0.2">
      <c r="A38">
        <v>18</v>
      </c>
      <c r="B38">
        <v>1</v>
      </c>
      <c r="C38">
        <v>38</v>
      </c>
      <c r="E38" t="s">
        <v>101</v>
      </c>
      <c r="F38" t="str">
        <f>'2.Лок.смета.и.Акт в ЕР'!B133</f>
        <v>04.1.02.05-0006</v>
      </c>
      <c r="G38" t="s">
        <v>103</v>
      </c>
      <c r="H38" t="s">
        <v>33</v>
      </c>
      <c r="I38">
        <f>I36*J38</f>
        <v>-7.9949999999999992</v>
      </c>
      <c r="J38">
        <v>-4.0999999999999996</v>
      </c>
      <c r="K38">
        <v>-4.0999999999999996</v>
      </c>
      <c r="O38" t="e">
        <f t="shared" si="23"/>
        <v>#REF!</v>
      </c>
      <c r="P38" t="e">
        <f t="shared" si="24"/>
        <v>#REF!</v>
      </c>
      <c r="Q38">
        <f t="shared" si="25"/>
        <v>0</v>
      </c>
      <c r="R38">
        <f t="shared" si="26"/>
        <v>0</v>
      </c>
      <c r="S38">
        <f t="shared" si="27"/>
        <v>0</v>
      </c>
      <c r="T38">
        <f t="shared" si="28"/>
        <v>0</v>
      </c>
      <c r="U38">
        <f t="shared" si="29"/>
        <v>0</v>
      </c>
      <c r="V38">
        <f t="shared" si="30"/>
        <v>0</v>
      </c>
      <c r="W38">
        <f t="shared" si="31"/>
        <v>0</v>
      </c>
      <c r="X38">
        <f t="shared" si="32"/>
        <v>0</v>
      </c>
      <c r="Y38">
        <f t="shared" si="33"/>
        <v>0</v>
      </c>
      <c r="AA38">
        <v>67643165</v>
      </c>
      <c r="AB38" t="e">
        <f t="shared" si="34"/>
        <v>#REF!</v>
      </c>
      <c r="AC38" t="e">
        <f t="shared" si="35"/>
        <v>#REF!</v>
      </c>
      <c r="AD38">
        <f t="shared" si="36"/>
        <v>0</v>
      </c>
      <c r="AE38">
        <f t="shared" si="52"/>
        <v>0</v>
      </c>
      <c r="AF38">
        <f t="shared" si="54"/>
        <v>0</v>
      </c>
      <c r="AG38">
        <f t="shared" si="37"/>
        <v>0</v>
      </c>
      <c r="AH38">
        <f t="shared" si="55"/>
        <v>0</v>
      </c>
      <c r="AI38">
        <f t="shared" si="53"/>
        <v>0</v>
      </c>
      <c r="AJ38">
        <f t="shared" si="38"/>
        <v>0</v>
      </c>
      <c r="AK38">
        <v>592.76</v>
      </c>
      <c r="AL38" s="67" t="e">
        <f>'1.Лок.смета.и.Акт'!#REF!</f>
        <v>#REF!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 t="e">
        <f>'1.Лок.смета.и.Акт'!#REF!</f>
        <v>#REF!</v>
      </c>
      <c r="BD38" t="s">
        <v>6</v>
      </c>
      <c r="BE38" t="s">
        <v>6</v>
      </c>
      <c r="BF38" t="s">
        <v>6</v>
      </c>
      <c r="BG38" t="s">
        <v>6</v>
      </c>
      <c r="BH38">
        <v>3</v>
      </c>
      <c r="BI38">
        <v>1</v>
      </c>
      <c r="BJ38" t="s">
        <v>104</v>
      </c>
      <c r="BM38">
        <v>500001</v>
      </c>
      <c r="BN38">
        <v>0</v>
      </c>
      <c r="BO38" t="s">
        <v>6</v>
      </c>
      <c r="BP38">
        <v>0</v>
      </c>
      <c r="BQ38">
        <v>8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6</v>
      </c>
      <c r="BZ38">
        <v>0</v>
      </c>
      <c r="CA38">
        <v>0</v>
      </c>
      <c r="CB38" t="s">
        <v>6</v>
      </c>
      <c r="CE38">
        <v>0</v>
      </c>
      <c r="CF38">
        <v>0</v>
      </c>
      <c r="CG38">
        <v>0</v>
      </c>
      <c r="CM38">
        <v>0</v>
      </c>
      <c r="CN38" t="s">
        <v>6</v>
      </c>
      <c r="CO38">
        <v>0</v>
      </c>
      <c r="CP38" t="e">
        <f t="shared" si="39"/>
        <v>#REF!</v>
      </c>
      <c r="CQ38" t="e">
        <f t="shared" si="56"/>
        <v>#REF!</v>
      </c>
      <c r="CR38">
        <f t="shared" si="57"/>
        <v>0</v>
      </c>
      <c r="CS38">
        <f t="shared" si="42"/>
        <v>0</v>
      </c>
      <c r="CT38">
        <f t="shared" si="43"/>
        <v>0</v>
      </c>
      <c r="CU38">
        <f t="shared" si="44"/>
        <v>0</v>
      </c>
      <c r="CV38">
        <f t="shared" si="45"/>
        <v>0</v>
      </c>
      <c r="CW38">
        <f t="shared" si="46"/>
        <v>0</v>
      </c>
      <c r="CX38">
        <f t="shared" si="47"/>
        <v>0</v>
      </c>
      <c r="CY38">
        <f>0</f>
        <v>0</v>
      </c>
      <c r="CZ38">
        <f>0</f>
        <v>0</v>
      </c>
      <c r="DC38" t="s">
        <v>6</v>
      </c>
      <c r="DD38" t="s">
        <v>6</v>
      </c>
      <c r="DE38" t="s">
        <v>6</v>
      </c>
      <c r="DF38" t="s">
        <v>6</v>
      </c>
      <c r="DG38" t="s">
        <v>6</v>
      </c>
      <c r="DH38" t="s">
        <v>6</v>
      </c>
      <c r="DI38" t="s">
        <v>6</v>
      </c>
      <c r="DJ38" t="s">
        <v>6</v>
      </c>
      <c r="DK38" t="s">
        <v>6</v>
      </c>
      <c r="DL38" t="s">
        <v>6</v>
      </c>
      <c r="DM38" t="s">
        <v>6</v>
      </c>
      <c r="DN38">
        <v>0</v>
      </c>
      <c r="DO38">
        <v>0</v>
      </c>
      <c r="DP38">
        <v>1</v>
      </c>
      <c r="DQ38">
        <v>1</v>
      </c>
      <c r="DU38">
        <v>1007</v>
      </c>
      <c r="DV38" t="s">
        <v>33</v>
      </c>
      <c r="DW38" t="str">
        <f>'2.Лок.смета.и.Акт в ЕР'!D133</f>
        <v>м3</v>
      </c>
      <c r="DX38">
        <v>1</v>
      </c>
      <c r="DZ38" t="s">
        <v>6</v>
      </c>
      <c r="EA38" t="s">
        <v>6</v>
      </c>
      <c r="EB38" t="s">
        <v>6</v>
      </c>
      <c r="EC38" t="s">
        <v>6</v>
      </c>
      <c r="EE38">
        <v>59670228</v>
      </c>
      <c r="EF38">
        <v>8</v>
      </c>
      <c r="EG38" t="s">
        <v>35</v>
      </c>
      <c r="EH38">
        <v>0</v>
      </c>
      <c r="EI38" t="s">
        <v>6</v>
      </c>
      <c r="EJ38">
        <v>1</v>
      </c>
      <c r="EK38">
        <v>500001</v>
      </c>
      <c r="EL38" t="s">
        <v>36</v>
      </c>
      <c r="EM38" t="s">
        <v>37</v>
      </c>
      <c r="EO38" t="s">
        <v>6</v>
      </c>
      <c r="EQ38">
        <v>32768</v>
      </c>
      <c r="ER38">
        <v>592.76</v>
      </c>
      <c r="ES38" s="67" t="e">
        <f>'1.Лок.смета.и.Акт'!#REF!</f>
        <v>#REF!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f t="shared" si="16"/>
        <v>0</v>
      </c>
      <c r="FS38">
        <v>0</v>
      </c>
      <c r="FX38">
        <v>0</v>
      </c>
      <c r="FY38">
        <v>0</v>
      </c>
      <c r="GA38" t="s">
        <v>6</v>
      </c>
      <c r="GD38">
        <v>1</v>
      </c>
      <c r="GF38">
        <v>2039656126</v>
      </c>
      <c r="GG38">
        <v>2</v>
      </c>
      <c r="GH38">
        <v>1</v>
      </c>
      <c r="GI38">
        <v>4</v>
      </c>
      <c r="GJ38">
        <v>0</v>
      </c>
      <c r="GK38">
        <v>0</v>
      </c>
      <c r="GL38">
        <f t="shared" si="17"/>
        <v>0</v>
      </c>
      <c r="GM38" t="e">
        <f t="shared" si="48"/>
        <v>#REF!</v>
      </c>
      <c r="GN38" t="e">
        <f t="shared" si="18"/>
        <v>#REF!</v>
      </c>
      <c r="GO38">
        <f t="shared" si="19"/>
        <v>0</v>
      </c>
      <c r="GP38">
        <f t="shared" si="20"/>
        <v>0</v>
      </c>
      <c r="GR38">
        <v>0</v>
      </c>
      <c r="GS38">
        <v>3</v>
      </c>
      <c r="GT38">
        <v>0</v>
      </c>
      <c r="GU38" t="s">
        <v>6</v>
      </c>
      <c r="GV38">
        <f t="shared" si="49"/>
        <v>0</v>
      </c>
      <c r="GW38">
        <v>1</v>
      </c>
      <c r="GX38">
        <f t="shared" si="50"/>
        <v>0</v>
      </c>
      <c r="HA38">
        <v>0</v>
      </c>
      <c r="HB38">
        <v>0</v>
      </c>
      <c r="HC38">
        <f t="shared" si="51"/>
        <v>0</v>
      </c>
      <c r="HE38" t="s">
        <v>6</v>
      </c>
      <c r="HF38" t="s">
        <v>6</v>
      </c>
      <c r="HM38" t="s">
        <v>6</v>
      </c>
      <c r="HN38" t="s">
        <v>6</v>
      </c>
      <c r="HO38" t="s">
        <v>6</v>
      </c>
      <c r="HP38" t="s">
        <v>6</v>
      </c>
      <c r="HQ38" t="s">
        <v>6</v>
      </c>
      <c r="IF38">
        <v>-1</v>
      </c>
      <c r="IK38">
        <v>0</v>
      </c>
    </row>
    <row r="39" spans="1:247" x14ac:dyDescent="0.2">
      <c r="A39">
        <v>18</v>
      </c>
      <c r="B39">
        <v>1</v>
      </c>
      <c r="C39">
        <v>39</v>
      </c>
      <c r="E39" t="s">
        <v>105</v>
      </c>
      <c r="F39" t="str">
        <f>'2.Лок.смета.и.Акт в ЕР'!B134</f>
        <v>04.1.02.05-0006</v>
      </c>
      <c r="G39" t="s">
        <v>103</v>
      </c>
      <c r="H39" t="s">
        <v>33</v>
      </c>
      <c r="I39">
        <f>I36*J39</f>
        <v>7.77</v>
      </c>
      <c r="J39">
        <v>3.9846153846153847</v>
      </c>
      <c r="K39">
        <v>3.9846154</v>
      </c>
      <c r="O39" t="e">
        <f t="shared" si="23"/>
        <v>#REF!</v>
      </c>
      <c r="P39" t="e">
        <f t="shared" si="24"/>
        <v>#REF!</v>
      </c>
      <c r="Q39">
        <f t="shared" si="25"/>
        <v>0</v>
      </c>
      <c r="R39">
        <f t="shared" si="26"/>
        <v>0</v>
      </c>
      <c r="S39">
        <f t="shared" si="27"/>
        <v>0</v>
      </c>
      <c r="T39">
        <f t="shared" si="28"/>
        <v>0</v>
      </c>
      <c r="U39">
        <f t="shared" si="29"/>
        <v>0</v>
      </c>
      <c r="V39">
        <f t="shared" si="30"/>
        <v>0</v>
      </c>
      <c r="W39">
        <f t="shared" si="31"/>
        <v>0</v>
      </c>
      <c r="X39">
        <f t="shared" si="32"/>
        <v>0</v>
      </c>
      <c r="Y39">
        <f t="shared" si="33"/>
        <v>0</v>
      </c>
      <c r="AA39">
        <v>67643165</v>
      </c>
      <c r="AB39" t="e">
        <f t="shared" si="34"/>
        <v>#REF!</v>
      </c>
      <c r="AC39" t="e">
        <f t="shared" si="35"/>
        <v>#REF!</v>
      </c>
      <c r="AD39">
        <f t="shared" si="36"/>
        <v>0</v>
      </c>
      <c r="AE39">
        <f t="shared" si="52"/>
        <v>0</v>
      </c>
      <c r="AF39">
        <f t="shared" si="54"/>
        <v>0</v>
      </c>
      <c r="AG39">
        <f t="shared" si="37"/>
        <v>0</v>
      </c>
      <c r="AH39">
        <f t="shared" si="55"/>
        <v>0</v>
      </c>
      <c r="AI39">
        <f t="shared" si="53"/>
        <v>0</v>
      </c>
      <c r="AJ39">
        <f t="shared" si="38"/>
        <v>0</v>
      </c>
      <c r="AK39">
        <v>592.76</v>
      </c>
      <c r="AL39" s="67" t="e">
        <f>'1.Лок.смета.и.Акт'!#REF!</f>
        <v>#REF!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 t="e">
        <f>'1.Лок.смета.и.Акт'!#REF!</f>
        <v>#REF!</v>
      </c>
      <c r="BD39" t="s">
        <v>6</v>
      </c>
      <c r="BE39" t="s">
        <v>6</v>
      </c>
      <c r="BF39" t="s">
        <v>6</v>
      </c>
      <c r="BG39" t="s">
        <v>6</v>
      </c>
      <c r="BH39">
        <v>3</v>
      </c>
      <c r="BI39">
        <v>1</v>
      </c>
      <c r="BJ39" t="s">
        <v>104</v>
      </c>
      <c r="BM39">
        <v>500001</v>
      </c>
      <c r="BN39">
        <v>0</v>
      </c>
      <c r="BO39" t="s">
        <v>6</v>
      </c>
      <c r="BP39">
        <v>0</v>
      </c>
      <c r="BQ39">
        <v>8</v>
      </c>
      <c r="BR39">
        <v>1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6</v>
      </c>
      <c r="BZ39">
        <v>0</v>
      </c>
      <c r="CA39">
        <v>0</v>
      </c>
      <c r="CB39" t="s">
        <v>6</v>
      </c>
      <c r="CE39">
        <v>0</v>
      </c>
      <c r="CF39">
        <v>0</v>
      </c>
      <c r="CG39">
        <v>0</v>
      </c>
      <c r="CM39">
        <v>0</v>
      </c>
      <c r="CN39" t="s">
        <v>6</v>
      </c>
      <c r="CO39">
        <v>0</v>
      </c>
      <c r="CP39" t="e">
        <f t="shared" si="39"/>
        <v>#REF!</v>
      </c>
      <c r="CQ39" t="e">
        <f t="shared" si="56"/>
        <v>#REF!</v>
      </c>
      <c r="CR39">
        <f t="shared" si="57"/>
        <v>0</v>
      </c>
      <c r="CS39">
        <f t="shared" si="42"/>
        <v>0</v>
      </c>
      <c r="CT39">
        <f t="shared" si="43"/>
        <v>0</v>
      </c>
      <c r="CU39">
        <f t="shared" si="44"/>
        <v>0</v>
      </c>
      <c r="CV39">
        <f t="shared" si="45"/>
        <v>0</v>
      </c>
      <c r="CW39">
        <f t="shared" si="46"/>
        <v>0</v>
      </c>
      <c r="CX39">
        <f t="shared" si="47"/>
        <v>0</v>
      </c>
      <c r="CY39">
        <f>0</f>
        <v>0</v>
      </c>
      <c r="CZ39">
        <f>0</f>
        <v>0</v>
      </c>
      <c r="DC39" t="s">
        <v>6</v>
      </c>
      <c r="DD39" t="s">
        <v>6</v>
      </c>
      <c r="DE39" t="s">
        <v>6</v>
      </c>
      <c r="DF39" t="s">
        <v>6</v>
      </c>
      <c r="DG39" t="s">
        <v>6</v>
      </c>
      <c r="DH39" t="s">
        <v>6</v>
      </c>
      <c r="DI39" t="s">
        <v>6</v>
      </c>
      <c r="DJ39" t="s">
        <v>6</v>
      </c>
      <c r="DK39" t="s">
        <v>6</v>
      </c>
      <c r="DL39" t="s">
        <v>6</v>
      </c>
      <c r="DM39" t="s">
        <v>6</v>
      </c>
      <c r="DN39">
        <v>0</v>
      </c>
      <c r="DO39">
        <v>0</v>
      </c>
      <c r="DP39">
        <v>1</v>
      </c>
      <c r="DQ39">
        <v>1</v>
      </c>
      <c r="DU39">
        <v>1007</v>
      </c>
      <c r="DV39" t="s">
        <v>33</v>
      </c>
      <c r="DW39" t="str">
        <f>'2.Лок.смета.и.Акт в ЕР'!D134</f>
        <v>м3</v>
      </c>
      <c r="DX39">
        <v>1</v>
      </c>
      <c r="DZ39" t="s">
        <v>6</v>
      </c>
      <c r="EA39" t="s">
        <v>6</v>
      </c>
      <c r="EB39" t="s">
        <v>6</v>
      </c>
      <c r="EC39" t="s">
        <v>6</v>
      </c>
      <c r="EE39">
        <v>59670228</v>
      </c>
      <c r="EF39">
        <v>8</v>
      </c>
      <c r="EG39" t="s">
        <v>35</v>
      </c>
      <c r="EH39">
        <v>0</v>
      </c>
      <c r="EI39" t="s">
        <v>6</v>
      </c>
      <c r="EJ39">
        <v>1</v>
      </c>
      <c r="EK39">
        <v>500001</v>
      </c>
      <c r="EL39" t="s">
        <v>36</v>
      </c>
      <c r="EM39" t="s">
        <v>37</v>
      </c>
      <c r="EO39" t="s">
        <v>6</v>
      </c>
      <c r="EQ39">
        <v>32768</v>
      </c>
      <c r="ER39">
        <v>592.76</v>
      </c>
      <c r="ES39" s="67" t="e">
        <f>'1.Лок.смета.и.Акт'!#REF!</f>
        <v>#REF!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16"/>
        <v>0</v>
      </c>
      <c r="FS39">
        <v>0</v>
      </c>
      <c r="FX39">
        <v>0</v>
      </c>
      <c r="FY39">
        <v>0</v>
      </c>
      <c r="GA39" t="s">
        <v>6</v>
      </c>
      <c r="GD39">
        <v>1</v>
      </c>
      <c r="GF39">
        <v>2039656126</v>
      </c>
      <c r="GG39">
        <v>2</v>
      </c>
      <c r="GH39">
        <v>1</v>
      </c>
      <c r="GI39">
        <v>4</v>
      </c>
      <c r="GJ39">
        <v>0</v>
      </c>
      <c r="GK39">
        <v>0</v>
      </c>
      <c r="GL39">
        <f t="shared" si="17"/>
        <v>0</v>
      </c>
      <c r="GM39" t="e">
        <f t="shared" si="48"/>
        <v>#REF!</v>
      </c>
      <c r="GN39" t="e">
        <f t="shared" si="18"/>
        <v>#REF!</v>
      </c>
      <c r="GO39">
        <f t="shared" si="19"/>
        <v>0</v>
      </c>
      <c r="GP39">
        <f t="shared" si="20"/>
        <v>0</v>
      </c>
      <c r="GR39">
        <v>0</v>
      </c>
      <c r="GS39">
        <v>3</v>
      </c>
      <c r="GT39">
        <v>0</v>
      </c>
      <c r="GU39" t="s">
        <v>6</v>
      </c>
      <c r="GV39">
        <f t="shared" si="49"/>
        <v>0</v>
      </c>
      <c r="GW39">
        <v>1</v>
      </c>
      <c r="GX39">
        <f t="shared" si="50"/>
        <v>0</v>
      </c>
      <c r="HA39">
        <v>0</v>
      </c>
      <c r="HB39">
        <v>0</v>
      </c>
      <c r="HC39">
        <f t="shared" si="51"/>
        <v>0</v>
      </c>
      <c r="HE39" t="s">
        <v>6</v>
      </c>
      <c r="HF39" t="s">
        <v>6</v>
      </c>
      <c r="HM39" t="s">
        <v>6</v>
      </c>
      <c r="HN39" t="s">
        <v>6</v>
      </c>
      <c r="HO39" t="s">
        <v>6</v>
      </c>
      <c r="HP39" t="s">
        <v>6</v>
      </c>
      <c r="HQ39" t="s">
        <v>6</v>
      </c>
      <c r="IF39">
        <v>-1</v>
      </c>
      <c r="IK39">
        <v>0</v>
      </c>
    </row>
    <row r="40" spans="1:247" x14ac:dyDescent="0.2">
      <c r="A40">
        <v>18</v>
      </c>
      <c r="B40">
        <v>1</v>
      </c>
      <c r="C40">
        <v>46</v>
      </c>
      <c r="E40" t="s">
        <v>106</v>
      </c>
      <c r="F40" t="str">
        <f>'2.Лок.смета.и.Акт в ЕР'!B135</f>
        <v>05.1.01.09-0056</v>
      </c>
      <c r="G40" t="s">
        <v>108</v>
      </c>
      <c r="H40" t="s">
        <v>99</v>
      </c>
      <c r="I40">
        <f>I36*J40</f>
        <v>15</v>
      </c>
      <c r="J40" s="211">
        <f>'6.Ведомость_списания'!F49</f>
        <v>7.6923076923076925</v>
      </c>
      <c r="K40">
        <v>7.6923076999999997</v>
      </c>
      <c r="O40" t="e">
        <f t="shared" si="23"/>
        <v>#REF!</v>
      </c>
      <c r="P40" t="e">
        <f t="shared" si="24"/>
        <v>#REF!</v>
      </c>
      <c r="Q40">
        <f t="shared" si="25"/>
        <v>0</v>
      </c>
      <c r="R40">
        <f t="shared" si="26"/>
        <v>0</v>
      </c>
      <c r="S40">
        <f t="shared" si="27"/>
        <v>0</v>
      </c>
      <c r="T40">
        <f t="shared" si="28"/>
        <v>0</v>
      </c>
      <c r="U40">
        <f t="shared" si="29"/>
        <v>0</v>
      </c>
      <c r="V40">
        <f t="shared" si="30"/>
        <v>0</v>
      </c>
      <c r="W40">
        <f t="shared" si="31"/>
        <v>0</v>
      </c>
      <c r="X40">
        <f t="shared" si="32"/>
        <v>0</v>
      </c>
      <c r="Y40">
        <f t="shared" si="33"/>
        <v>0</v>
      </c>
      <c r="AA40">
        <v>67643165</v>
      </c>
      <c r="AB40" t="e">
        <f t="shared" si="34"/>
        <v>#REF!</v>
      </c>
      <c r="AC40" t="e">
        <f t="shared" si="35"/>
        <v>#REF!</v>
      </c>
      <c r="AD40">
        <f t="shared" si="36"/>
        <v>0</v>
      </c>
      <c r="AE40">
        <f t="shared" si="52"/>
        <v>0</v>
      </c>
      <c r="AF40">
        <f t="shared" si="54"/>
        <v>0</v>
      </c>
      <c r="AG40">
        <f t="shared" si="37"/>
        <v>0</v>
      </c>
      <c r="AH40">
        <f t="shared" si="55"/>
        <v>0</v>
      </c>
      <c r="AI40">
        <f t="shared" si="53"/>
        <v>0</v>
      </c>
      <c r="AJ40">
        <f t="shared" si="38"/>
        <v>0</v>
      </c>
      <c r="AK40">
        <v>362.1</v>
      </c>
      <c r="AL40" s="67" t="e">
        <f>'1.Лок.смета.и.Акт'!#REF!</f>
        <v>#REF!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 t="e">
        <f>'1.Лок.смета.и.Акт'!#REF!</f>
        <v>#REF!</v>
      </c>
      <c r="BD40" t="s">
        <v>6</v>
      </c>
      <c r="BE40" t="s">
        <v>6</v>
      </c>
      <c r="BF40" t="s">
        <v>6</v>
      </c>
      <c r="BG40" t="s">
        <v>6</v>
      </c>
      <c r="BH40">
        <v>3</v>
      </c>
      <c r="BI40">
        <v>1</v>
      </c>
      <c r="BJ40" t="s">
        <v>109</v>
      </c>
      <c r="BM40">
        <v>500001</v>
      </c>
      <c r="BN40">
        <v>0</v>
      </c>
      <c r="BO40" t="s">
        <v>6</v>
      </c>
      <c r="BP40">
        <v>0</v>
      </c>
      <c r="BQ40">
        <v>8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6</v>
      </c>
      <c r="BZ40">
        <v>0</v>
      </c>
      <c r="CA40">
        <v>0</v>
      </c>
      <c r="CB40" t="s">
        <v>6</v>
      </c>
      <c r="CE40">
        <v>0</v>
      </c>
      <c r="CF40">
        <v>0</v>
      </c>
      <c r="CG40">
        <v>0</v>
      </c>
      <c r="CM40">
        <v>0</v>
      </c>
      <c r="CN40" t="s">
        <v>6</v>
      </c>
      <c r="CO40">
        <v>0</v>
      </c>
      <c r="CP40" t="e">
        <f t="shared" si="39"/>
        <v>#REF!</v>
      </c>
      <c r="CQ40" t="e">
        <f t="shared" si="56"/>
        <v>#REF!</v>
      </c>
      <c r="CR40">
        <f t="shared" si="57"/>
        <v>0</v>
      </c>
      <c r="CS40">
        <f t="shared" si="42"/>
        <v>0</v>
      </c>
      <c r="CT40">
        <f t="shared" si="43"/>
        <v>0</v>
      </c>
      <c r="CU40">
        <f t="shared" si="44"/>
        <v>0</v>
      </c>
      <c r="CV40">
        <f t="shared" si="45"/>
        <v>0</v>
      </c>
      <c r="CW40">
        <f t="shared" si="46"/>
        <v>0</v>
      </c>
      <c r="CX40">
        <f t="shared" si="47"/>
        <v>0</v>
      </c>
      <c r="CY40">
        <f>0</f>
        <v>0</v>
      </c>
      <c r="CZ40">
        <f>0</f>
        <v>0</v>
      </c>
      <c r="DC40" t="s">
        <v>6</v>
      </c>
      <c r="DD40" t="s">
        <v>6</v>
      </c>
      <c r="DE40" t="s">
        <v>6</v>
      </c>
      <c r="DF40" t="s">
        <v>6</v>
      </c>
      <c r="DG40" t="s">
        <v>6</v>
      </c>
      <c r="DH40" t="s">
        <v>6</v>
      </c>
      <c r="DI40" t="s">
        <v>6</v>
      </c>
      <c r="DJ40" t="s">
        <v>6</v>
      </c>
      <c r="DK40" t="s">
        <v>6</v>
      </c>
      <c r="DL40" t="s">
        <v>6</v>
      </c>
      <c r="DM40" t="s">
        <v>6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99</v>
      </c>
      <c r="DW40" t="str">
        <f>'2.Лок.смета.и.Акт в ЕР'!D135</f>
        <v>ШТ</v>
      </c>
      <c r="DX40">
        <v>1</v>
      </c>
      <c r="DZ40" t="s">
        <v>6</v>
      </c>
      <c r="EA40" t="s">
        <v>6</v>
      </c>
      <c r="EB40" t="s">
        <v>6</v>
      </c>
      <c r="EC40" t="s">
        <v>6</v>
      </c>
      <c r="EE40">
        <v>59670228</v>
      </c>
      <c r="EF40">
        <v>8</v>
      </c>
      <c r="EG40" t="s">
        <v>35</v>
      </c>
      <c r="EH40">
        <v>0</v>
      </c>
      <c r="EI40" t="s">
        <v>6</v>
      </c>
      <c r="EJ40">
        <v>1</v>
      </c>
      <c r="EK40">
        <v>500001</v>
      </c>
      <c r="EL40" t="s">
        <v>36</v>
      </c>
      <c r="EM40" t="s">
        <v>37</v>
      </c>
      <c r="EO40" t="s">
        <v>6</v>
      </c>
      <c r="EQ40">
        <v>0</v>
      </c>
      <c r="ER40">
        <v>362.1</v>
      </c>
      <c r="ES40" s="67" t="e">
        <f>'1.Лок.смета.и.Акт'!#REF!</f>
        <v>#REF!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f t="shared" si="16"/>
        <v>0</v>
      </c>
      <c r="FS40">
        <v>0</v>
      </c>
      <c r="FX40">
        <v>0</v>
      </c>
      <c r="FY40">
        <v>0</v>
      </c>
      <c r="GA40" t="s">
        <v>6</v>
      </c>
      <c r="GD40">
        <v>1</v>
      </c>
      <c r="GF40">
        <v>-1054581583</v>
      </c>
      <c r="GG40">
        <v>2</v>
      </c>
      <c r="GH40">
        <v>1</v>
      </c>
      <c r="GI40">
        <v>4</v>
      </c>
      <c r="GJ40">
        <v>0</v>
      </c>
      <c r="GK40">
        <v>0</v>
      </c>
      <c r="GL40">
        <f t="shared" si="17"/>
        <v>0</v>
      </c>
      <c r="GM40" t="e">
        <f t="shared" si="48"/>
        <v>#REF!</v>
      </c>
      <c r="GN40" t="e">
        <f t="shared" si="18"/>
        <v>#REF!</v>
      </c>
      <c r="GO40">
        <f t="shared" si="19"/>
        <v>0</v>
      </c>
      <c r="GP40">
        <f t="shared" si="20"/>
        <v>0</v>
      </c>
      <c r="GR40">
        <v>0</v>
      </c>
      <c r="GS40">
        <v>3</v>
      </c>
      <c r="GT40">
        <v>0</v>
      </c>
      <c r="GU40" t="s">
        <v>6</v>
      </c>
      <c r="GV40">
        <f t="shared" si="49"/>
        <v>0</v>
      </c>
      <c r="GW40">
        <v>1</v>
      </c>
      <c r="GX40">
        <f t="shared" si="50"/>
        <v>0</v>
      </c>
      <c r="HA40">
        <v>0</v>
      </c>
      <c r="HB40">
        <v>0</v>
      </c>
      <c r="HC40">
        <f t="shared" si="51"/>
        <v>0</v>
      </c>
      <c r="HE40" t="s">
        <v>6</v>
      </c>
      <c r="HF40" t="s">
        <v>6</v>
      </c>
      <c r="HM40" t="s">
        <v>6</v>
      </c>
      <c r="HN40" t="s">
        <v>6</v>
      </c>
      <c r="HO40" t="s">
        <v>6</v>
      </c>
      <c r="HP40" t="s">
        <v>6</v>
      </c>
      <c r="HQ40" t="s">
        <v>6</v>
      </c>
      <c r="IF40">
        <v>-1</v>
      </c>
      <c r="IK40">
        <v>0</v>
      </c>
    </row>
    <row r="41" spans="1:247" x14ac:dyDescent="0.2">
      <c r="A41">
        <v>18</v>
      </c>
      <c r="B41">
        <v>1</v>
      </c>
      <c r="C41">
        <v>45</v>
      </c>
      <c r="E41" t="s">
        <v>110</v>
      </c>
      <c r="F41" t="str">
        <f>'2.Лок.смета.и.Акт в ЕР'!B136</f>
        <v>05.1.01.09-0054</v>
      </c>
      <c r="G41" t="s">
        <v>112</v>
      </c>
      <c r="H41" t="s">
        <v>99</v>
      </c>
      <c r="I41">
        <f>I36*J41</f>
        <v>15</v>
      </c>
      <c r="J41" s="211">
        <f>'6.Ведомость_списания'!F50</f>
        <v>7.6923076923076925</v>
      </c>
      <c r="K41">
        <v>7.6923076999999997</v>
      </c>
      <c r="O41" t="e">
        <f t="shared" si="23"/>
        <v>#REF!</v>
      </c>
      <c r="P41" t="e">
        <f t="shared" si="24"/>
        <v>#REF!</v>
      </c>
      <c r="Q41">
        <f t="shared" si="25"/>
        <v>0</v>
      </c>
      <c r="R41">
        <f t="shared" si="26"/>
        <v>0</v>
      </c>
      <c r="S41">
        <f t="shared" si="27"/>
        <v>0</v>
      </c>
      <c r="T41">
        <f t="shared" si="28"/>
        <v>0</v>
      </c>
      <c r="U41">
        <f t="shared" si="29"/>
        <v>0</v>
      </c>
      <c r="V41">
        <f t="shared" si="30"/>
        <v>0</v>
      </c>
      <c r="W41">
        <f t="shared" si="31"/>
        <v>0</v>
      </c>
      <c r="X41">
        <f t="shared" si="32"/>
        <v>0</v>
      </c>
      <c r="Y41">
        <f t="shared" si="33"/>
        <v>0</v>
      </c>
      <c r="AA41">
        <v>67643165</v>
      </c>
      <c r="AB41" t="e">
        <f t="shared" si="34"/>
        <v>#REF!</v>
      </c>
      <c r="AC41" t="e">
        <f t="shared" si="35"/>
        <v>#REF!</v>
      </c>
      <c r="AD41">
        <f t="shared" si="36"/>
        <v>0</v>
      </c>
      <c r="AE41">
        <f t="shared" si="52"/>
        <v>0</v>
      </c>
      <c r="AF41">
        <f t="shared" si="54"/>
        <v>0</v>
      </c>
      <c r="AG41">
        <f t="shared" si="37"/>
        <v>0</v>
      </c>
      <c r="AH41">
        <f t="shared" si="55"/>
        <v>0</v>
      </c>
      <c r="AI41">
        <f t="shared" si="53"/>
        <v>0</v>
      </c>
      <c r="AJ41">
        <f t="shared" si="38"/>
        <v>0</v>
      </c>
      <c r="AK41">
        <v>121.2</v>
      </c>
      <c r="AL41" s="67" t="e">
        <f>'1.Лок.смета.и.Акт'!#REF!</f>
        <v>#REF!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 t="e">
        <f>'1.Лок.смета.и.Акт'!#REF!</f>
        <v>#REF!</v>
      </c>
      <c r="BD41" t="s">
        <v>6</v>
      </c>
      <c r="BE41" t="s">
        <v>6</v>
      </c>
      <c r="BF41" t="s">
        <v>6</v>
      </c>
      <c r="BG41" t="s">
        <v>6</v>
      </c>
      <c r="BH41">
        <v>3</v>
      </c>
      <c r="BI41">
        <v>1</v>
      </c>
      <c r="BJ41" t="s">
        <v>113</v>
      </c>
      <c r="BM41">
        <v>500001</v>
      </c>
      <c r="BN41">
        <v>0</v>
      </c>
      <c r="BO41" t="s">
        <v>6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6</v>
      </c>
      <c r="BZ41">
        <v>0</v>
      </c>
      <c r="CA41">
        <v>0</v>
      </c>
      <c r="CB41" t="s">
        <v>6</v>
      </c>
      <c r="CE41">
        <v>0</v>
      </c>
      <c r="CF41">
        <v>0</v>
      </c>
      <c r="CG41">
        <v>0</v>
      </c>
      <c r="CM41">
        <v>0</v>
      </c>
      <c r="CN41" t="s">
        <v>6</v>
      </c>
      <c r="CO41">
        <v>0</v>
      </c>
      <c r="CP41" t="e">
        <f t="shared" si="39"/>
        <v>#REF!</v>
      </c>
      <c r="CQ41" t="e">
        <f t="shared" si="56"/>
        <v>#REF!</v>
      </c>
      <c r="CR41">
        <f t="shared" si="57"/>
        <v>0</v>
      </c>
      <c r="CS41">
        <f t="shared" si="42"/>
        <v>0</v>
      </c>
      <c r="CT41">
        <f t="shared" si="43"/>
        <v>0</v>
      </c>
      <c r="CU41">
        <f t="shared" si="44"/>
        <v>0</v>
      </c>
      <c r="CV41">
        <f t="shared" si="45"/>
        <v>0</v>
      </c>
      <c r="CW41">
        <f t="shared" si="46"/>
        <v>0</v>
      </c>
      <c r="CX41">
        <f t="shared" si="47"/>
        <v>0</v>
      </c>
      <c r="CY41">
        <f>0</f>
        <v>0</v>
      </c>
      <c r="CZ41">
        <f>0</f>
        <v>0</v>
      </c>
      <c r="DC41" t="s">
        <v>6</v>
      </c>
      <c r="DD41" t="s">
        <v>6</v>
      </c>
      <c r="DE41" t="s">
        <v>6</v>
      </c>
      <c r="DF41" t="s">
        <v>6</v>
      </c>
      <c r="DG41" t="s">
        <v>6</v>
      </c>
      <c r="DH41" t="s">
        <v>6</v>
      </c>
      <c r="DI41" t="s">
        <v>6</v>
      </c>
      <c r="DJ41" t="s">
        <v>6</v>
      </c>
      <c r="DK41" t="s">
        <v>6</v>
      </c>
      <c r="DL41" t="s">
        <v>6</v>
      </c>
      <c r="DM41" t="s">
        <v>6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99</v>
      </c>
      <c r="DW41" t="str">
        <f>'2.Лок.смета.и.Акт в ЕР'!D136</f>
        <v>ШТ</v>
      </c>
      <c r="DX41">
        <v>1</v>
      </c>
      <c r="DZ41" t="s">
        <v>6</v>
      </c>
      <c r="EA41" t="s">
        <v>6</v>
      </c>
      <c r="EB41" t="s">
        <v>6</v>
      </c>
      <c r="EC41" t="s">
        <v>6</v>
      </c>
      <c r="EE41">
        <v>59670228</v>
      </c>
      <c r="EF41">
        <v>8</v>
      </c>
      <c r="EG41" t="s">
        <v>35</v>
      </c>
      <c r="EH41">
        <v>0</v>
      </c>
      <c r="EI41" t="s">
        <v>6</v>
      </c>
      <c r="EJ41">
        <v>1</v>
      </c>
      <c r="EK41">
        <v>500001</v>
      </c>
      <c r="EL41" t="s">
        <v>36</v>
      </c>
      <c r="EM41" t="s">
        <v>37</v>
      </c>
      <c r="EO41" t="s">
        <v>6</v>
      </c>
      <c r="EQ41">
        <v>0</v>
      </c>
      <c r="ER41">
        <v>121.2</v>
      </c>
      <c r="ES41" s="67" t="e">
        <f>'1.Лок.смета.и.Акт'!#REF!</f>
        <v>#REF!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16"/>
        <v>0</v>
      </c>
      <c r="FS41">
        <v>0</v>
      </c>
      <c r="FX41">
        <v>0</v>
      </c>
      <c r="FY41">
        <v>0</v>
      </c>
      <c r="GA41" t="s">
        <v>6</v>
      </c>
      <c r="GD41">
        <v>1</v>
      </c>
      <c r="GF41">
        <v>-156490418</v>
      </c>
      <c r="GG41">
        <v>2</v>
      </c>
      <c r="GH41">
        <v>1</v>
      </c>
      <c r="GI41">
        <v>4</v>
      </c>
      <c r="GJ41">
        <v>0</v>
      </c>
      <c r="GK41">
        <v>0</v>
      </c>
      <c r="GL41">
        <f t="shared" si="17"/>
        <v>0</v>
      </c>
      <c r="GM41" t="e">
        <f t="shared" si="48"/>
        <v>#REF!</v>
      </c>
      <c r="GN41" t="e">
        <f t="shared" si="18"/>
        <v>#REF!</v>
      </c>
      <c r="GO41">
        <f t="shared" si="19"/>
        <v>0</v>
      </c>
      <c r="GP41">
        <f t="shared" si="20"/>
        <v>0</v>
      </c>
      <c r="GR41">
        <v>0</v>
      </c>
      <c r="GS41">
        <v>3</v>
      </c>
      <c r="GT41">
        <v>0</v>
      </c>
      <c r="GU41" t="s">
        <v>6</v>
      </c>
      <c r="GV41">
        <f t="shared" si="49"/>
        <v>0</v>
      </c>
      <c r="GW41">
        <v>1</v>
      </c>
      <c r="GX41">
        <f t="shared" si="50"/>
        <v>0</v>
      </c>
      <c r="HA41">
        <v>0</v>
      </c>
      <c r="HB41">
        <v>0</v>
      </c>
      <c r="HC41">
        <f t="shared" si="51"/>
        <v>0</v>
      </c>
      <c r="HE41" t="s">
        <v>6</v>
      </c>
      <c r="HF41" t="s">
        <v>6</v>
      </c>
      <c r="HM41" t="s">
        <v>6</v>
      </c>
      <c r="HN41" t="s">
        <v>6</v>
      </c>
      <c r="HO41" t="s">
        <v>6</v>
      </c>
      <c r="HP41" t="s">
        <v>6</v>
      </c>
      <c r="HQ41" t="s">
        <v>6</v>
      </c>
      <c r="IF41">
        <v>-1</v>
      </c>
      <c r="IK41">
        <v>0</v>
      </c>
    </row>
    <row r="42" spans="1:247" x14ac:dyDescent="0.2">
      <c r="A42">
        <v>18</v>
      </c>
      <c r="B42">
        <v>1</v>
      </c>
      <c r="C42">
        <v>48</v>
      </c>
      <c r="E42" t="s">
        <v>114</v>
      </c>
      <c r="F42" t="str">
        <f>'2.Лок.смета.и.Акт в ЕР'!B137</f>
        <v>05.1.06.09-0088</v>
      </c>
      <c r="G42" t="s">
        <v>116</v>
      </c>
      <c r="H42" t="s">
        <v>99</v>
      </c>
      <c r="I42">
        <f>I36*J42</f>
        <v>15</v>
      </c>
      <c r="J42" s="211">
        <f>'6.Ведомость_списания'!F51</f>
        <v>7.6923076923076925</v>
      </c>
      <c r="K42">
        <v>7.6923076999999997</v>
      </c>
      <c r="O42" t="e">
        <f t="shared" si="23"/>
        <v>#REF!</v>
      </c>
      <c r="P42" t="e">
        <f t="shared" si="24"/>
        <v>#REF!</v>
      </c>
      <c r="Q42">
        <f t="shared" si="25"/>
        <v>0</v>
      </c>
      <c r="R42">
        <f t="shared" si="26"/>
        <v>0</v>
      </c>
      <c r="S42">
        <f t="shared" si="27"/>
        <v>0</v>
      </c>
      <c r="T42">
        <f t="shared" si="28"/>
        <v>0</v>
      </c>
      <c r="U42">
        <f t="shared" si="29"/>
        <v>0</v>
      </c>
      <c r="V42">
        <f t="shared" si="30"/>
        <v>0</v>
      </c>
      <c r="W42">
        <f t="shared" si="31"/>
        <v>0</v>
      </c>
      <c r="X42">
        <f t="shared" si="32"/>
        <v>0</v>
      </c>
      <c r="Y42">
        <f t="shared" si="33"/>
        <v>0</v>
      </c>
      <c r="AA42">
        <v>67643165</v>
      </c>
      <c r="AB42" t="e">
        <f t="shared" si="34"/>
        <v>#REF!</v>
      </c>
      <c r="AC42" t="e">
        <f t="shared" si="35"/>
        <v>#REF!</v>
      </c>
      <c r="AD42">
        <f t="shared" si="36"/>
        <v>0</v>
      </c>
      <c r="AE42">
        <f t="shared" si="52"/>
        <v>0</v>
      </c>
      <c r="AF42">
        <f t="shared" si="54"/>
        <v>0</v>
      </c>
      <c r="AG42">
        <f t="shared" si="37"/>
        <v>0</v>
      </c>
      <c r="AH42">
        <f t="shared" si="55"/>
        <v>0</v>
      </c>
      <c r="AI42">
        <f t="shared" si="53"/>
        <v>0</v>
      </c>
      <c r="AJ42">
        <f t="shared" si="38"/>
        <v>0</v>
      </c>
      <c r="AK42">
        <v>175.57</v>
      </c>
      <c r="AL42" s="67" t="e">
        <f>'1.Лок.смета.и.Акт'!#REF!</f>
        <v>#REF!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1</v>
      </c>
      <c r="AW42">
        <v>1</v>
      </c>
      <c r="AZ42">
        <v>1</v>
      </c>
      <c r="BA42">
        <v>1</v>
      </c>
      <c r="BB42">
        <v>1</v>
      </c>
      <c r="BC42" t="e">
        <f>'1.Лок.смета.и.Акт'!#REF!</f>
        <v>#REF!</v>
      </c>
      <c r="BD42" t="s">
        <v>6</v>
      </c>
      <c r="BE42" t="s">
        <v>6</v>
      </c>
      <c r="BF42" t="s">
        <v>6</v>
      </c>
      <c r="BG42" t="s">
        <v>6</v>
      </c>
      <c r="BH42">
        <v>3</v>
      </c>
      <c r="BI42">
        <v>1</v>
      </c>
      <c r="BJ42" t="s">
        <v>117</v>
      </c>
      <c r="BM42">
        <v>500001</v>
      </c>
      <c r="BN42">
        <v>0</v>
      </c>
      <c r="BO42" t="s">
        <v>6</v>
      </c>
      <c r="BP42">
        <v>0</v>
      </c>
      <c r="BQ42">
        <v>8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6</v>
      </c>
      <c r="BZ42">
        <v>0</v>
      </c>
      <c r="CA42">
        <v>0</v>
      </c>
      <c r="CB42" t="s">
        <v>6</v>
      </c>
      <c r="CE42">
        <v>0</v>
      </c>
      <c r="CF42">
        <v>0</v>
      </c>
      <c r="CG42">
        <v>0</v>
      </c>
      <c r="CM42">
        <v>0</v>
      </c>
      <c r="CN42" t="s">
        <v>6</v>
      </c>
      <c r="CO42">
        <v>0</v>
      </c>
      <c r="CP42" t="e">
        <f t="shared" si="39"/>
        <v>#REF!</v>
      </c>
      <c r="CQ42" t="e">
        <f t="shared" si="56"/>
        <v>#REF!</v>
      </c>
      <c r="CR42">
        <f t="shared" si="57"/>
        <v>0</v>
      </c>
      <c r="CS42">
        <f t="shared" si="42"/>
        <v>0</v>
      </c>
      <c r="CT42">
        <f t="shared" si="43"/>
        <v>0</v>
      </c>
      <c r="CU42">
        <f t="shared" si="44"/>
        <v>0</v>
      </c>
      <c r="CV42">
        <f t="shared" si="45"/>
        <v>0</v>
      </c>
      <c r="CW42">
        <f t="shared" si="46"/>
        <v>0</v>
      </c>
      <c r="CX42">
        <f t="shared" si="47"/>
        <v>0</v>
      </c>
      <c r="CY42">
        <f>0</f>
        <v>0</v>
      </c>
      <c r="CZ42">
        <f>0</f>
        <v>0</v>
      </c>
      <c r="DC42" t="s">
        <v>6</v>
      </c>
      <c r="DD42" t="s">
        <v>6</v>
      </c>
      <c r="DE42" t="s">
        <v>6</v>
      </c>
      <c r="DF42" t="s">
        <v>6</v>
      </c>
      <c r="DG42" t="s">
        <v>6</v>
      </c>
      <c r="DH42" t="s">
        <v>6</v>
      </c>
      <c r="DI42" t="s">
        <v>6</v>
      </c>
      <c r="DJ42" t="s">
        <v>6</v>
      </c>
      <c r="DK42" t="s">
        <v>6</v>
      </c>
      <c r="DL42" t="s">
        <v>6</v>
      </c>
      <c r="DM42" t="s">
        <v>6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99</v>
      </c>
      <c r="DW42" t="str">
        <f>'2.Лок.смета.и.Акт в ЕР'!D137</f>
        <v>ШТ</v>
      </c>
      <c r="DX42">
        <v>1</v>
      </c>
      <c r="DZ42" t="s">
        <v>6</v>
      </c>
      <c r="EA42" t="s">
        <v>6</v>
      </c>
      <c r="EB42" t="s">
        <v>6</v>
      </c>
      <c r="EC42" t="s">
        <v>6</v>
      </c>
      <c r="EE42">
        <v>59670228</v>
      </c>
      <c r="EF42">
        <v>8</v>
      </c>
      <c r="EG42" t="s">
        <v>35</v>
      </c>
      <c r="EH42">
        <v>0</v>
      </c>
      <c r="EI42" t="s">
        <v>6</v>
      </c>
      <c r="EJ42">
        <v>1</v>
      </c>
      <c r="EK42">
        <v>500001</v>
      </c>
      <c r="EL42" t="s">
        <v>36</v>
      </c>
      <c r="EM42" t="s">
        <v>37</v>
      </c>
      <c r="EO42" t="s">
        <v>6</v>
      </c>
      <c r="EQ42">
        <v>0</v>
      </c>
      <c r="ER42">
        <v>175.57</v>
      </c>
      <c r="ES42" s="67" t="e">
        <f>'1.Лок.смета.и.Акт'!#REF!</f>
        <v>#REF!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f t="shared" si="16"/>
        <v>0</v>
      </c>
      <c r="FS42">
        <v>0</v>
      </c>
      <c r="FX42">
        <v>0</v>
      </c>
      <c r="FY42">
        <v>0</v>
      </c>
      <c r="GA42" t="s">
        <v>6</v>
      </c>
      <c r="GD42">
        <v>1</v>
      </c>
      <c r="GF42">
        <v>520743523</v>
      </c>
      <c r="GG42">
        <v>2</v>
      </c>
      <c r="GH42">
        <v>1</v>
      </c>
      <c r="GI42">
        <v>4</v>
      </c>
      <c r="GJ42">
        <v>0</v>
      </c>
      <c r="GK42">
        <v>0</v>
      </c>
      <c r="GL42">
        <f t="shared" si="17"/>
        <v>0</v>
      </c>
      <c r="GM42" t="e">
        <f t="shared" si="48"/>
        <v>#REF!</v>
      </c>
      <c r="GN42" t="e">
        <f t="shared" si="18"/>
        <v>#REF!</v>
      </c>
      <c r="GO42">
        <f t="shared" si="19"/>
        <v>0</v>
      </c>
      <c r="GP42">
        <f t="shared" si="20"/>
        <v>0</v>
      </c>
      <c r="GR42">
        <v>0</v>
      </c>
      <c r="GS42">
        <v>3</v>
      </c>
      <c r="GT42">
        <v>0</v>
      </c>
      <c r="GU42" t="s">
        <v>6</v>
      </c>
      <c r="GV42">
        <f t="shared" si="49"/>
        <v>0</v>
      </c>
      <c r="GW42">
        <v>1</v>
      </c>
      <c r="GX42">
        <f t="shared" si="50"/>
        <v>0</v>
      </c>
      <c r="HA42">
        <v>0</v>
      </c>
      <c r="HB42">
        <v>0</v>
      </c>
      <c r="HC42">
        <f t="shared" si="51"/>
        <v>0</v>
      </c>
      <c r="HE42" t="s">
        <v>6</v>
      </c>
      <c r="HF42" t="s">
        <v>6</v>
      </c>
      <c r="HM42" t="s">
        <v>6</v>
      </c>
      <c r="HN42" t="s">
        <v>6</v>
      </c>
      <c r="HO42" t="s">
        <v>6</v>
      </c>
      <c r="HP42" t="s">
        <v>6</v>
      </c>
      <c r="HQ42" t="s">
        <v>6</v>
      </c>
      <c r="IF42">
        <v>-1</v>
      </c>
      <c r="IK42">
        <v>0</v>
      </c>
    </row>
    <row r="43" spans="1:247" x14ac:dyDescent="0.2">
      <c r="A43">
        <v>18</v>
      </c>
      <c r="B43">
        <v>1</v>
      </c>
      <c r="C43">
        <v>44</v>
      </c>
      <c r="E43" t="s">
        <v>118</v>
      </c>
      <c r="F43" t="str">
        <f>'2.Лок.смета.и.Акт в ЕР'!B138</f>
        <v>05.1.01.09-0051</v>
      </c>
      <c r="G43" t="s">
        <v>120</v>
      </c>
      <c r="H43" t="s">
        <v>99</v>
      </c>
      <c r="I43">
        <f>I36*J43</f>
        <v>15</v>
      </c>
      <c r="J43" s="211">
        <f>'6.Ведомость_списания'!F52</f>
        <v>7.6923076923076925</v>
      </c>
      <c r="K43">
        <v>7.6923076999999997</v>
      </c>
      <c r="O43" t="e">
        <f t="shared" si="23"/>
        <v>#REF!</v>
      </c>
      <c r="P43" t="e">
        <f t="shared" si="24"/>
        <v>#REF!</v>
      </c>
      <c r="Q43">
        <f t="shared" si="25"/>
        <v>0</v>
      </c>
      <c r="R43">
        <f t="shared" si="26"/>
        <v>0</v>
      </c>
      <c r="S43">
        <f t="shared" si="27"/>
        <v>0</v>
      </c>
      <c r="T43">
        <f t="shared" si="28"/>
        <v>0</v>
      </c>
      <c r="U43">
        <f t="shared" si="29"/>
        <v>0</v>
      </c>
      <c r="V43">
        <f t="shared" si="30"/>
        <v>0</v>
      </c>
      <c r="W43">
        <f t="shared" si="31"/>
        <v>0</v>
      </c>
      <c r="X43">
        <f t="shared" si="32"/>
        <v>0</v>
      </c>
      <c r="Y43">
        <f t="shared" si="33"/>
        <v>0</v>
      </c>
      <c r="AA43">
        <v>67643165</v>
      </c>
      <c r="AB43" t="e">
        <f t="shared" si="34"/>
        <v>#REF!</v>
      </c>
      <c r="AC43" t="e">
        <f t="shared" si="35"/>
        <v>#REF!</v>
      </c>
      <c r="AD43">
        <f t="shared" si="36"/>
        <v>0</v>
      </c>
      <c r="AE43">
        <f t="shared" si="52"/>
        <v>0</v>
      </c>
      <c r="AF43">
        <f t="shared" si="54"/>
        <v>0</v>
      </c>
      <c r="AG43">
        <f t="shared" si="37"/>
        <v>0</v>
      </c>
      <c r="AH43">
        <f t="shared" si="55"/>
        <v>0</v>
      </c>
      <c r="AI43">
        <f t="shared" si="53"/>
        <v>0</v>
      </c>
      <c r="AJ43">
        <f t="shared" si="38"/>
        <v>0</v>
      </c>
      <c r="AK43">
        <v>78.56</v>
      </c>
      <c r="AL43" s="67" t="e">
        <f>'1.Лок.смета.и.Акт'!#REF!</f>
        <v>#REF!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 t="e">
        <f>'1.Лок.смета.и.Акт'!#REF!</f>
        <v>#REF!</v>
      </c>
      <c r="BD43" t="s">
        <v>6</v>
      </c>
      <c r="BE43" t="s">
        <v>6</v>
      </c>
      <c r="BF43" t="s">
        <v>6</v>
      </c>
      <c r="BG43" t="s">
        <v>6</v>
      </c>
      <c r="BH43">
        <v>3</v>
      </c>
      <c r="BI43">
        <v>1</v>
      </c>
      <c r="BJ43" t="s">
        <v>121</v>
      </c>
      <c r="BM43">
        <v>500001</v>
      </c>
      <c r="BN43">
        <v>0</v>
      </c>
      <c r="BO43" t="s">
        <v>6</v>
      </c>
      <c r="BP43">
        <v>0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6</v>
      </c>
      <c r="BZ43">
        <v>0</v>
      </c>
      <c r="CA43">
        <v>0</v>
      </c>
      <c r="CB43" t="s">
        <v>6</v>
      </c>
      <c r="CE43">
        <v>0</v>
      </c>
      <c r="CF43">
        <v>0</v>
      </c>
      <c r="CG43">
        <v>0</v>
      </c>
      <c r="CM43">
        <v>0</v>
      </c>
      <c r="CN43" t="s">
        <v>6</v>
      </c>
      <c r="CO43">
        <v>0</v>
      </c>
      <c r="CP43" t="e">
        <f t="shared" si="39"/>
        <v>#REF!</v>
      </c>
      <c r="CQ43" t="e">
        <f t="shared" si="56"/>
        <v>#REF!</v>
      </c>
      <c r="CR43">
        <f t="shared" si="57"/>
        <v>0</v>
      </c>
      <c r="CS43">
        <f t="shared" si="42"/>
        <v>0</v>
      </c>
      <c r="CT43">
        <f t="shared" si="43"/>
        <v>0</v>
      </c>
      <c r="CU43">
        <f t="shared" si="44"/>
        <v>0</v>
      </c>
      <c r="CV43">
        <f t="shared" si="45"/>
        <v>0</v>
      </c>
      <c r="CW43">
        <f t="shared" si="46"/>
        <v>0</v>
      </c>
      <c r="CX43">
        <f t="shared" si="47"/>
        <v>0</v>
      </c>
      <c r="CY43">
        <f>0</f>
        <v>0</v>
      </c>
      <c r="CZ43">
        <f>0</f>
        <v>0</v>
      </c>
      <c r="DC43" t="s">
        <v>6</v>
      </c>
      <c r="DD43" t="s">
        <v>6</v>
      </c>
      <c r="DE43" t="s">
        <v>6</v>
      </c>
      <c r="DF43" t="s">
        <v>6</v>
      </c>
      <c r="DG43" t="s">
        <v>6</v>
      </c>
      <c r="DH43" t="s">
        <v>6</v>
      </c>
      <c r="DI43" t="s">
        <v>6</v>
      </c>
      <c r="DJ43" t="s">
        <v>6</v>
      </c>
      <c r="DK43" t="s">
        <v>6</v>
      </c>
      <c r="DL43" t="s">
        <v>6</v>
      </c>
      <c r="DM43" t="s">
        <v>6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99</v>
      </c>
      <c r="DW43" t="str">
        <f>'2.Лок.смета.и.Акт в ЕР'!D138</f>
        <v>ШТ</v>
      </c>
      <c r="DX43">
        <v>1</v>
      </c>
      <c r="DZ43" t="s">
        <v>6</v>
      </c>
      <c r="EA43" t="s">
        <v>6</v>
      </c>
      <c r="EB43" t="s">
        <v>6</v>
      </c>
      <c r="EC43" t="s">
        <v>6</v>
      </c>
      <c r="EE43">
        <v>59670228</v>
      </c>
      <c r="EF43">
        <v>8</v>
      </c>
      <c r="EG43" t="s">
        <v>35</v>
      </c>
      <c r="EH43">
        <v>0</v>
      </c>
      <c r="EI43" t="s">
        <v>6</v>
      </c>
      <c r="EJ43">
        <v>1</v>
      </c>
      <c r="EK43">
        <v>500001</v>
      </c>
      <c r="EL43" t="s">
        <v>36</v>
      </c>
      <c r="EM43" t="s">
        <v>37</v>
      </c>
      <c r="EO43" t="s">
        <v>6</v>
      </c>
      <c r="EQ43">
        <v>0</v>
      </c>
      <c r="ER43">
        <v>78.56</v>
      </c>
      <c r="ES43" s="67" t="e">
        <f>'1.Лок.смета.и.Акт'!#REF!</f>
        <v>#REF!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16"/>
        <v>0</v>
      </c>
      <c r="FS43">
        <v>0</v>
      </c>
      <c r="FX43">
        <v>0</v>
      </c>
      <c r="FY43">
        <v>0</v>
      </c>
      <c r="GA43" t="s">
        <v>6</v>
      </c>
      <c r="GD43">
        <v>1</v>
      </c>
      <c r="GF43">
        <v>-1695879727</v>
      </c>
      <c r="GG43">
        <v>2</v>
      </c>
      <c r="GH43">
        <v>1</v>
      </c>
      <c r="GI43">
        <v>4</v>
      </c>
      <c r="GJ43">
        <v>0</v>
      </c>
      <c r="GK43">
        <v>0</v>
      </c>
      <c r="GL43">
        <f t="shared" si="17"/>
        <v>0</v>
      </c>
      <c r="GM43" t="e">
        <f t="shared" si="48"/>
        <v>#REF!</v>
      </c>
      <c r="GN43" t="e">
        <f t="shared" si="18"/>
        <v>#REF!</v>
      </c>
      <c r="GO43">
        <f t="shared" si="19"/>
        <v>0</v>
      </c>
      <c r="GP43">
        <f t="shared" si="20"/>
        <v>0</v>
      </c>
      <c r="GR43">
        <v>0</v>
      </c>
      <c r="GS43">
        <v>3</v>
      </c>
      <c r="GT43">
        <v>0</v>
      </c>
      <c r="GU43" t="s">
        <v>6</v>
      </c>
      <c r="GV43">
        <f t="shared" si="49"/>
        <v>0</v>
      </c>
      <c r="GW43">
        <v>1</v>
      </c>
      <c r="GX43">
        <f t="shared" si="50"/>
        <v>0</v>
      </c>
      <c r="HA43">
        <v>0</v>
      </c>
      <c r="HB43">
        <v>0</v>
      </c>
      <c r="HC43">
        <f t="shared" si="51"/>
        <v>0</v>
      </c>
      <c r="HE43" t="s">
        <v>6</v>
      </c>
      <c r="HF43" t="s">
        <v>6</v>
      </c>
      <c r="HM43" t="s">
        <v>6</v>
      </c>
      <c r="HN43" t="s">
        <v>6</v>
      </c>
      <c r="HO43" t="s">
        <v>6</v>
      </c>
      <c r="HP43" t="s">
        <v>6</v>
      </c>
      <c r="HQ43" t="s">
        <v>6</v>
      </c>
      <c r="IF43">
        <v>-1</v>
      </c>
      <c r="IK43">
        <v>0</v>
      </c>
    </row>
    <row r="44" spans="1:247" x14ac:dyDescent="0.2">
      <c r="A44">
        <v>18</v>
      </c>
      <c r="B44">
        <v>1</v>
      </c>
      <c r="C44">
        <v>43</v>
      </c>
      <c r="E44" t="s">
        <v>122</v>
      </c>
      <c r="F44" t="str">
        <f>'2.Лок.смета.и.Акт в ЕР'!B139</f>
        <v>05.1.01.09-0042</v>
      </c>
      <c r="G44" t="s">
        <v>124</v>
      </c>
      <c r="H44" t="s">
        <v>99</v>
      </c>
      <c r="I44">
        <f>I36*J44</f>
        <v>15</v>
      </c>
      <c r="J44" s="211">
        <f>'6.Ведомость_списания'!F53</f>
        <v>7.6923076923076925</v>
      </c>
      <c r="K44">
        <v>7.6923076999999997</v>
      </c>
      <c r="O44" t="e">
        <f t="shared" si="23"/>
        <v>#REF!</v>
      </c>
      <c r="P44" t="e">
        <f t="shared" si="24"/>
        <v>#REF!</v>
      </c>
      <c r="Q44">
        <f t="shared" si="25"/>
        <v>0</v>
      </c>
      <c r="R44">
        <f t="shared" si="26"/>
        <v>0</v>
      </c>
      <c r="S44">
        <f t="shared" si="27"/>
        <v>0</v>
      </c>
      <c r="T44">
        <f t="shared" si="28"/>
        <v>0</v>
      </c>
      <c r="U44">
        <f t="shared" si="29"/>
        <v>0</v>
      </c>
      <c r="V44">
        <f t="shared" si="30"/>
        <v>0</v>
      </c>
      <c r="W44">
        <f t="shared" si="31"/>
        <v>0</v>
      </c>
      <c r="X44">
        <f t="shared" si="32"/>
        <v>0</v>
      </c>
      <c r="Y44">
        <f t="shared" si="33"/>
        <v>0</v>
      </c>
      <c r="AA44">
        <v>67643165</v>
      </c>
      <c r="AB44" t="e">
        <f t="shared" si="34"/>
        <v>#REF!</v>
      </c>
      <c r="AC44" t="e">
        <f t="shared" si="35"/>
        <v>#REF!</v>
      </c>
      <c r="AD44">
        <f t="shared" si="36"/>
        <v>0</v>
      </c>
      <c r="AE44">
        <f t="shared" si="52"/>
        <v>0</v>
      </c>
      <c r="AF44">
        <f t="shared" si="54"/>
        <v>0</v>
      </c>
      <c r="AG44">
        <f t="shared" si="37"/>
        <v>0</v>
      </c>
      <c r="AH44">
        <f t="shared" si="55"/>
        <v>0</v>
      </c>
      <c r="AI44">
        <f t="shared" si="53"/>
        <v>0</v>
      </c>
      <c r="AJ44">
        <f t="shared" si="38"/>
        <v>0</v>
      </c>
      <c r="AK44">
        <v>31.43</v>
      </c>
      <c r="AL44" s="67" t="e">
        <f>'1.Лок.смета.и.Акт'!#REF!</f>
        <v>#REF!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1</v>
      </c>
      <c r="AW44">
        <v>1</v>
      </c>
      <c r="AZ44">
        <v>1</v>
      </c>
      <c r="BA44">
        <v>1</v>
      </c>
      <c r="BB44">
        <v>1</v>
      </c>
      <c r="BC44" t="e">
        <f>'1.Лок.смета.и.Акт'!#REF!</f>
        <v>#REF!</v>
      </c>
      <c r="BD44" t="s">
        <v>6</v>
      </c>
      <c r="BE44" t="s">
        <v>6</v>
      </c>
      <c r="BF44" t="s">
        <v>6</v>
      </c>
      <c r="BG44" t="s">
        <v>6</v>
      </c>
      <c r="BH44">
        <v>3</v>
      </c>
      <c r="BI44">
        <v>1</v>
      </c>
      <c r="BJ44" t="s">
        <v>125</v>
      </c>
      <c r="BM44">
        <v>500001</v>
      </c>
      <c r="BN44">
        <v>0</v>
      </c>
      <c r="BO44" t="s">
        <v>6</v>
      </c>
      <c r="BP44">
        <v>0</v>
      </c>
      <c r="BQ44">
        <v>8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6</v>
      </c>
      <c r="BZ44">
        <v>0</v>
      </c>
      <c r="CA44">
        <v>0</v>
      </c>
      <c r="CB44" t="s">
        <v>6</v>
      </c>
      <c r="CE44">
        <v>0</v>
      </c>
      <c r="CF44">
        <v>0</v>
      </c>
      <c r="CG44">
        <v>0</v>
      </c>
      <c r="CM44">
        <v>0</v>
      </c>
      <c r="CN44" t="s">
        <v>6</v>
      </c>
      <c r="CO44">
        <v>0</v>
      </c>
      <c r="CP44" t="e">
        <f t="shared" si="39"/>
        <v>#REF!</v>
      </c>
      <c r="CQ44" t="e">
        <f t="shared" si="56"/>
        <v>#REF!</v>
      </c>
      <c r="CR44">
        <f t="shared" si="57"/>
        <v>0</v>
      </c>
      <c r="CS44">
        <f t="shared" si="42"/>
        <v>0</v>
      </c>
      <c r="CT44">
        <f t="shared" si="43"/>
        <v>0</v>
      </c>
      <c r="CU44">
        <f t="shared" si="44"/>
        <v>0</v>
      </c>
      <c r="CV44">
        <f t="shared" si="45"/>
        <v>0</v>
      </c>
      <c r="CW44">
        <f t="shared" si="46"/>
        <v>0</v>
      </c>
      <c r="CX44">
        <f t="shared" si="47"/>
        <v>0</v>
      </c>
      <c r="CY44">
        <f>0</f>
        <v>0</v>
      </c>
      <c r="CZ44">
        <f>0</f>
        <v>0</v>
      </c>
      <c r="DC44" t="s">
        <v>6</v>
      </c>
      <c r="DD44" t="s">
        <v>6</v>
      </c>
      <c r="DE44" t="s">
        <v>6</v>
      </c>
      <c r="DF44" t="s">
        <v>6</v>
      </c>
      <c r="DG44" t="s">
        <v>6</v>
      </c>
      <c r="DH44" t="s">
        <v>6</v>
      </c>
      <c r="DI44" t="s">
        <v>6</v>
      </c>
      <c r="DJ44" t="s">
        <v>6</v>
      </c>
      <c r="DK44" t="s">
        <v>6</v>
      </c>
      <c r="DL44" t="s">
        <v>6</v>
      </c>
      <c r="DM44" t="s">
        <v>6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99</v>
      </c>
      <c r="DW44" t="str">
        <f>'2.Лок.смета.и.Акт в ЕР'!D139</f>
        <v>ШТ</v>
      </c>
      <c r="DX44">
        <v>1</v>
      </c>
      <c r="DZ44" t="s">
        <v>6</v>
      </c>
      <c r="EA44" t="s">
        <v>6</v>
      </c>
      <c r="EB44" t="s">
        <v>6</v>
      </c>
      <c r="EC44" t="s">
        <v>6</v>
      </c>
      <c r="EE44">
        <v>59670228</v>
      </c>
      <c r="EF44">
        <v>8</v>
      </c>
      <c r="EG44" t="s">
        <v>35</v>
      </c>
      <c r="EH44">
        <v>0</v>
      </c>
      <c r="EI44" t="s">
        <v>6</v>
      </c>
      <c r="EJ44">
        <v>1</v>
      </c>
      <c r="EK44">
        <v>500001</v>
      </c>
      <c r="EL44" t="s">
        <v>36</v>
      </c>
      <c r="EM44" t="s">
        <v>37</v>
      </c>
      <c r="EO44" t="s">
        <v>6</v>
      </c>
      <c r="EQ44">
        <v>0</v>
      </c>
      <c r="ER44">
        <v>31.43</v>
      </c>
      <c r="ES44" s="67" t="e">
        <f>'1.Лок.смета.и.Акт'!#REF!</f>
        <v>#REF!</v>
      </c>
      <c r="ET44">
        <v>0</v>
      </c>
      <c r="EU44">
        <v>0</v>
      </c>
      <c r="EV44">
        <v>0</v>
      </c>
      <c r="EW44">
        <v>0</v>
      </c>
      <c r="EX44">
        <v>0</v>
      </c>
      <c r="FQ44">
        <v>0</v>
      </c>
      <c r="FR44">
        <f t="shared" si="16"/>
        <v>0</v>
      </c>
      <c r="FS44">
        <v>0</v>
      </c>
      <c r="FX44">
        <v>0</v>
      </c>
      <c r="FY44">
        <v>0</v>
      </c>
      <c r="GA44" t="s">
        <v>6</v>
      </c>
      <c r="GD44">
        <v>1</v>
      </c>
      <c r="GF44">
        <v>-2058157479</v>
      </c>
      <c r="GG44">
        <v>2</v>
      </c>
      <c r="GH44">
        <v>1</v>
      </c>
      <c r="GI44">
        <v>4</v>
      </c>
      <c r="GJ44">
        <v>0</v>
      </c>
      <c r="GK44">
        <v>0</v>
      </c>
      <c r="GL44">
        <f t="shared" si="17"/>
        <v>0</v>
      </c>
      <c r="GM44" t="e">
        <f t="shared" si="48"/>
        <v>#REF!</v>
      </c>
      <c r="GN44" t="e">
        <f t="shared" si="18"/>
        <v>#REF!</v>
      </c>
      <c r="GO44">
        <f t="shared" si="19"/>
        <v>0</v>
      </c>
      <c r="GP44">
        <f t="shared" si="20"/>
        <v>0</v>
      </c>
      <c r="GR44">
        <v>0</v>
      </c>
      <c r="GS44">
        <v>3</v>
      </c>
      <c r="GT44">
        <v>0</v>
      </c>
      <c r="GU44" t="s">
        <v>6</v>
      </c>
      <c r="GV44">
        <f t="shared" si="49"/>
        <v>0</v>
      </c>
      <c r="GW44">
        <v>1</v>
      </c>
      <c r="GX44">
        <f t="shared" si="50"/>
        <v>0</v>
      </c>
      <c r="HA44">
        <v>0</v>
      </c>
      <c r="HB44">
        <v>0</v>
      </c>
      <c r="HC44">
        <f t="shared" si="51"/>
        <v>0</v>
      </c>
      <c r="HE44" t="s">
        <v>6</v>
      </c>
      <c r="HF44" t="s">
        <v>6</v>
      </c>
      <c r="HM44" t="s">
        <v>6</v>
      </c>
      <c r="HN44" t="s">
        <v>6</v>
      </c>
      <c r="HO44" t="s">
        <v>6</v>
      </c>
      <c r="HP44" t="s">
        <v>6</v>
      </c>
      <c r="HQ44" t="s">
        <v>6</v>
      </c>
      <c r="IF44">
        <v>-1</v>
      </c>
      <c r="IK44">
        <v>0</v>
      </c>
    </row>
    <row r="45" spans="1:247" x14ac:dyDescent="0.2">
      <c r="A45">
        <v>18</v>
      </c>
      <c r="B45">
        <v>1</v>
      </c>
      <c r="C45">
        <v>49</v>
      </c>
      <c r="E45" t="s">
        <v>126</v>
      </c>
      <c r="F45" t="str">
        <f>'2.Лок.смета.и.Акт в ЕР'!B140</f>
        <v>07.2.05.01-0032</v>
      </c>
      <c r="G45" t="s">
        <v>128</v>
      </c>
      <c r="H45" t="s">
        <v>129</v>
      </c>
      <c r="I45">
        <f>I36*J45</f>
        <v>0.183</v>
      </c>
      <c r="J45" s="211">
        <f>'6.Ведомость_списания'!F54</f>
        <v>9.3846153846153843E-2</v>
      </c>
      <c r="K45">
        <v>9.3846150000000003E-2</v>
      </c>
      <c r="O45" t="e">
        <f t="shared" si="23"/>
        <v>#REF!</v>
      </c>
      <c r="P45" t="e">
        <f t="shared" si="24"/>
        <v>#REF!</v>
      </c>
      <c r="Q45">
        <f t="shared" si="25"/>
        <v>0</v>
      </c>
      <c r="R45">
        <f t="shared" si="26"/>
        <v>0</v>
      </c>
      <c r="S45">
        <f t="shared" si="27"/>
        <v>0</v>
      </c>
      <c r="T45">
        <f t="shared" si="28"/>
        <v>0</v>
      </c>
      <c r="U45">
        <f t="shared" si="29"/>
        <v>0</v>
      </c>
      <c r="V45">
        <f t="shared" si="30"/>
        <v>0</v>
      </c>
      <c r="W45">
        <f t="shared" si="31"/>
        <v>0</v>
      </c>
      <c r="X45">
        <f t="shared" si="32"/>
        <v>0</v>
      </c>
      <c r="Y45">
        <f t="shared" si="33"/>
        <v>0</v>
      </c>
      <c r="AA45">
        <v>67643165</v>
      </c>
      <c r="AB45" t="e">
        <f t="shared" si="34"/>
        <v>#REF!</v>
      </c>
      <c r="AC45" t="e">
        <f t="shared" si="35"/>
        <v>#REF!</v>
      </c>
      <c r="AD45">
        <f t="shared" si="36"/>
        <v>0</v>
      </c>
      <c r="AE45">
        <f t="shared" si="52"/>
        <v>0</v>
      </c>
      <c r="AF45">
        <f t="shared" si="54"/>
        <v>0</v>
      </c>
      <c r="AG45">
        <f t="shared" si="37"/>
        <v>0</v>
      </c>
      <c r="AH45">
        <f t="shared" si="55"/>
        <v>0</v>
      </c>
      <c r="AI45">
        <f t="shared" si="53"/>
        <v>0</v>
      </c>
      <c r="AJ45">
        <f t="shared" si="38"/>
        <v>0</v>
      </c>
      <c r="AK45">
        <v>7571</v>
      </c>
      <c r="AL45" s="67" t="e">
        <f>'1.Лок.смета.и.Акт'!#REF!</f>
        <v>#REF!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1</v>
      </c>
      <c r="BA45">
        <v>1</v>
      </c>
      <c r="BB45">
        <v>1</v>
      </c>
      <c r="BC45" t="e">
        <f>'1.Лок.смета.и.Акт'!#REF!</f>
        <v>#REF!</v>
      </c>
      <c r="BD45" t="s">
        <v>6</v>
      </c>
      <c r="BE45" t="s">
        <v>6</v>
      </c>
      <c r="BF45" t="s">
        <v>6</v>
      </c>
      <c r="BG45" t="s">
        <v>6</v>
      </c>
      <c r="BH45">
        <v>3</v>
      </c>
      <c r="BI45">
        <v>1</v>
      </c>
      <c r="BJ45" t="s">
        <v>130</v>
      </c>
      <c r="BM45">
        <v>500001</v>
      </c>
      <c r="BN45">
        <v>0</v>
      </c>
      <c r="BO45" t="s">
        <v>6</v>
      </c>
      <c r="BP45">
        <v>0</v>
      </c>
      <c r="BQ45">
        <v>8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6</v>
      </c>
      <c r="BZ45">
        <v>0</v>
      </c>
      <c r="CA45">
        <v>0</v>
      </c>
      <c r="CB45" t="s">
        <v>6</v>
      </c>
      <c r="CE45">
        <v>0</v>
      </c>
      <c r="CF45">
        <v>0</v>
      </c>
      <c r="CG45">
        <v>0</v>
      </c>
      <c r="CM45">
        <v>0</v>
      </c>
      <c r="CN45" t="s">
        <v>6</v>
      </c>
      <c r="CO45">
        <v>0</v>
      </c>
      <c r="CP45" t="e">
        <f t="shared" si="39"/>
        <v>#REF!</v>
      </c>
      <c r="CQ45" t="e">
        <f t="shared" si="56"/>
        <v>#REF!</v>
      </c>
      <c r="CR45">
        <f t="shared" si="57"/>
        <v>0</v>
      </c>
      <c r="CS45">
        <f t="shared" si="42"/>
        <v>0</v>
      </c>
      <c r="CT45">
        <f t="shared" si="43"/>
        <v>0</v>
      </c>
      <c r="CU45">
        <f t="shared" si="44"/>
        <v>0</v>
      </c>
      <c r="CV45">
        <f t="shared" si="45"/>
        <v>0</v>
      </c>
      <c r="CW45">
        <f t="shared" si="46"/>
        <v>0</v>
      </c>
      <c r="CX45">
        <f t="shared" si="47"/>
        <v>0</v>
      </c>
      <c r="CY45">
        <f>0</f>
        <v>0</v>
      </c>
      <c r="CZ45">
        <f>0</f>
        <v>0</v>
      </c>
      <c r="DC45" t="s">
        <v>6</v>
      </c>
      <c r="DD45" t="s">
        <v>6</v>
      </c>
      <c r="DE45" t="s">
        <v>6</v>
      </c>
      <c r="DF45" t="s">
        <v>6</v>
      </c>
      <c r="DG45" t="s">
        <v>6</v>
      </c>
      <c r="DH45" t="s">
        <v>6</v>
      </c>
      <c r="DI45" t="s">
        <v>6</v>
      </c>
      <c r="DJ45" t="s">
        <v>6</v>
      </c>
      <c r="DK45" t="s">
        <v>6</v>
      </c>
      <c r="DL45" t="s">
        <v>6</v>
      </c>
      <c r="DM45" t="s">
        <v>6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129</v>
      </c>
      <c r="DW45" t="str">
        <f>'2.Лок.смета.и.Акт в ЕР'!D140</f>
        <v>т</v>
      </c>
      <c r="DX45">
        <v>1000</v>
      </c>
      <c r="DZ45" t="s">
        <v>6</v>
      </c>
      <c r="EA45" t="s">
        <v>6</v>
      </c>
      <c r="EB45" t="s">
        <v>6</v>
      </c>
      <c r="EC45" t="s">
        <v>6</v>
      </c>
      <c r="EE45">
        <v>59670228</v>
      </c>
      <c r="EF45">
        <v>8</v>
      </c>
      <c r="EG45" t="s">
        <v>35</v>
      </c>
      <c r="EH45">
        <v>0</v>
      </c>
      <c r="EI45" t="s">
        <v>6</v>
      </c>
      <c r="EJ45">
        <v>1</v>
      </c>
      <c r="EK45">
        <v>500001</v>
      </c>
      <c r="EL45" t="s">
        <v>36</v>
      </c>
      <c r="EM45" t="s">
        <v>37</v>
      </c>
      <c r="EO45" t="s">
        <v>6</v>
      </c>
      <c r="EQ45">
        <v>0</v>
      </c>
      <c r="ER45">
        <v>7571</v>
      </c>
      <c r="ES45" s="67" t="e">
        <f>'1.Лок.смета.и.Акт'!#REF!</f>
        <v>#REF!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16"/>
        <v>0</v>
      </c>
      <c r="FS45">
        <v>0</v>
      </c>
      <c r="FX45">
        <v>0</v>
      </c>
      <c r="FY45">
        <v>0</v>
      </c>
      <c r="GA45" t="s">
        <v>6</v>
      </c>
      <c r="GD45">
        <v>1</v>
      </c>
      <c r="GF45">
        <v>1853686766</v>
      </c>
      <c r="GG45">
        <v>2</v>
      </c>
      <c r="GH45">
        <v>1</v>
      </c>
      <c r="GI45">
        <v>4</v>
      </c>
      <c r="GJ45">
        <v>0</v>
      </c>
      <c r="GK45">
        <v>0</v>
      </c>
      <c r="GL45">
        <f t="shared" si="17"/>
        <v>0</v>
      </c>
      <c r="GM45" t="e">
        <f t="shared" si="48"/>
        <v>#REF!</v>
      </c>
      <c r="GN45" t="e">
        <f t="shared" si="18"/>
        <v>#REF!</v>
      </c>
      <c r="GO45">
        <f t="shared" si="19"/>
        <v>0</v>
      </c>
      <c r="GP45">
        <f t="shared" si="20"/>
        <v>0</v>
      </c>
      <c r="GR45">
        <v>0</v>
      </c>
      <c r="GS45">
        <v>3</v>
      </c>
      <c r="GT45">
        <v>0</v>
      </c>
      <c r="GU45" t="s">
        <v>6</v>
      </c>
      <c r="GV45">
        <f t="shared" si="49"/>
        <v>0</v>
      </c>
      <c r="GW45">
        <v>1</v>
      </c>
      <c r="GX45">
        <f t="shared" si="50"/>
        <v>0</v>
      </c>
      <c r="HA45">
        <v>0</v>
      </c>
      <c r="HB45">
        <v>0</v>
      </c>
      <c r="HC45">
        <f t="shared" si="51"/>
        <v>0</v>
      </c>
      <c r="HE45" t="s">
        <v>6</v>
      </c>
      <c r="HF45" t="s">
        <v>6</v>
      </c>
      <c r="HM45" t="s">
        <v>6</v>
      </c>
      <c r="HN45" t="s">
        <v>6</v>
      </c>
      <c r="HO45" t="s">
        <v>6</v>
      </c>
      <c r="HP45" t="s">
        <v>6</v>
      </c>
      <c r="HQ45" t="s">
        <v>6</v>
      </c>
      <c r="IF45">
        <v>-1</v>
      </c>
      <c r="IK45">
        <v>0</v>
      </c>
    </row>
    <row r="46" spans="1:247" x14ac:dyDescent="0.2">
      <c r="A46">
        <v>18</v>
      </c>
      <c r="B46">
        <v>1</v>
      </c>
      <c r="C46">
        <v>50</v>
      </c>
      <c r="E46" t="s">
        <v>131</v>
      </c>
      <c r="F46" t="str">
        <f>'2.Лок.смета.и.Акт в ЕР'!B141</f>
        <v>08.1.02.06-0033</v>
      </c>
      <c r="G46" t="s">
        <v>133</v>
      </c>
      <c r="H46" t="s">
        <v>99</v>
      </c>
      <c r="I46">
        <f>I36*J46</f>
        <v>15</v>
      </c>
      <c r="J46" s="211">
        <f>'6.Ведомость_списания'!F55</f>
        <v>7.6923076923076925</v>
      </c>
      <c r="K46">
        <v>7.6923076999999997</v>
      </c>
      <c r="O46" t="e">
        <f t="shared" si="23"/>
        <v>#REF!</v>
      </c>
      <c r="P46" t="e">
        <f t="shared" si="24"/>
        <v>#REF!</v>
      </c>
      <c r="Q46">
        <f t="shared" si="25"/>
        <v>0</v>
      </c>
      <c r="R46">
        <f t="shared" si="26"/>
        <v>0</v>
      </c>
      <c r="S46">
        <f t="shared" si="27"/>
        <v>0</v>
      </c>
      <c r="T46">
        <f t="shared" si="28"/>
        <v>0</v>
      </c>
      <c r="U46">
        <f t="shared" si="29"/>
        <v>0</v>
      </c>
      <c r="V46">
        <f t="shared" si="30"/>
        <v>0</v>
      </c>
      <c r="W46">
        <f t="shared" si="31"/>
        <v>0</v>
      </c>
      <c r="X46">
        <f t="shared" si="32"/>
        <v>0</v>
      </c>
      <c r="Y46">
        <f t="shared" si="33"/>
        <v>0</v>
      </c>
      <c r="AA46">
        <v>67643165</v>
      </c>
      <c r="AB46" t="e">
        <f t="shared" si="34"/>
        <v>#REF!</v>
      </c>
      <c r="AC46" t="e">
        <f t="shared" si="35"/>
        <v>#REF!</v>
      </c>
      <c r="AD46">
        <f t="shared" si="36"/>
        <v>0</v>
      </c>
      <c r="AE46">
        <f t="shared" si="52"/>
        <v>0</v>
      </c>
      <c r="AF46">
        <f t="shared" si="54"/>
        <v>0</v>
      </c>
      <c r="AG46">
        <f t="shared" si="37"/>
        <v>0</v>
      </c>
      <c r="AH46">
        <f t="shared" si="55"/>
        <v>0</v>
      </c>
      <c r="AI46">
        <f t="shared" si="53"/>
        <v>0</v>
      </c>
      <c r="AJ46">
        <f t="shared" si="38"/>
        <v>0</v>
      </c>
      <c r="AK46">
        <v>11388.17</v>
      </c>
      <c r="AL46" s="67" t="e">
        <f>'1.Лок.смета.и.Акт'!#REF!</f>
        <v>#REF!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1</v>
      </c>
      <c r="AW46">
        <v>1</v>
      </c>
      <c r="AZ46">
        <v>1</v>
      </c>
      <c r="BA46">
        <v>1</v>
      </c>
      <c r="BB46">
        <v>1</v>
      </c>
      <c r="BC46" t="e">
        <f>'1.Лок.смета.и.Акт'!#REF!</f>
        <v>#REF!</v>
      </c>
      <c r="BD46" t="s">
        <v>6</v>
      </c>
      <c r="BE46" t="s">
        <v>6</v>
      </c>
      <c r="BF46" t="s">
        <v>6</v>
      </c>
      <c r="BG46" t="s">
        <v>6</v>
      </c>
      <c r="BH46">
        <v>3</v>
      </c>
      <c r="BI46">
        <v>1</v>
      </c>
      <c r="BJ46" t="s">
        <v>134</v>
      </c>
      <c r="BM46">
        <v>500001</v>
      </c>
      <c r="BN46">
        <v>0</v>
      </c>
      <c r="BO46" t="s">
        <v>6</v>
      </c>
      <c r="BP46">
        <v>0</v>
      </c>
      <c r="BQ46">
        <v>8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6</v>
      </c>
      <c r="BZ46">
        <v>0</v>
      </c>
      <c r="CA46">
        <v>0</v>
      </c>
      <c r="CB46" t="s">
        <v>6</v>
      </c>
      <c r="CE46">
        <v>0</v>
      </c>
      <c r="CF46">
        <v>0</v>
      </c>
      <c r="CG46">
        <v>0</v>
      </c>
      <c r="CM46">
        <v>0</v>
      </c>
      <c r="CN46" t="s">
        <v>6</v>
      </c>
      <c r="CO46">
        <v>0</v>
      </c>
      <c r="CP46" t="e">
        <f t="shared" si="39"/>
        <v>#REF!</v>
      </c>
      <c r="CQ46" t="e">
        <f>AC46</f>
        <v>#REF!</v>
      </c>
      <c r="CR46">
        <f>(((ET46)-(EU46)*BS46)+AE46*BS46)</f>
        <v>0</v>
      </c>
      <c r="CS46">
        <f t="shared" si="42"/>
        <v>0</v>
      </c>
      <c r="CT46">
        <f t="shared" si="43"/>
        <v>0</v>
      </c>
      <c r="CU46">
        <f t="shared" si="44"/>
        <v>0</v>
      </c>
      <c r="CV46">
        <f t="shared" si="45"/>
        <v>0</v>
      </c>
      <c r="CW46">
        <f t="shared" si="46"/>
        <v>0</v>
      </c>
      <c r="CX46">
        <f t="shared" si="47"/>
        <v>0</v>
      </c>
      <c r="CY46">
        <f>0</f>
        <v>0</v>
      </c>
      <c r="CZ46">
        <f>0</f>
        <v>0</v>
      </c>
      <c r="DC46" t="s">
        <v>6</v>
      </c>
      <c r="DD46" t="s">
        <v>6</v>
      </c>
      <c r="DE46" t="s">
        <v>6</v>
      </c>
      <c r="DF46" t="s">
        <v>6</v>
      </c>
      <c r="DG46" t="s">
        <v>6</v>
      </c>
      <c r="DH46" t="s">
        <v>6</v>
      </c>
      <c r="DI46" t="s">
        <v>6</v>
      </c>
      <c r="DJ46" t="s">
        <v>6</v>
      </c>
      <c r="DK46" t="s">
        <v>6</v>
      </c>
      <c r="DL46" t="s">
        <v>6</v>
      </c>
      <c r="DM46" t="s">
        <v>6</v>
      </c>
      <c r="DN46">
        <v>0</v>
      </c>
      <c r="DO46">
        <v>0</v>
      </c>
      <c r="DP46">
        <v>1</v>
      </c>
      <c r="DQ46">
        <v>1</v>
      </c>
      <c r="DU46">
        <v>1013</v>
      </c>
      <c r="DV46" t="s">
        <v>99</v>
      </c>
      <c r="DW46" t="str">
        <f>'2.Лок.смета.и.Акт в ЕР'!D141</f>
        <v>ШТ</v>
      </c>
      <c r="DX46">
        <v>1</v>
      </c>
      <c r="DZ46" t="s">
        <v>6</v>
      </c>
      <c r="EA46" t="s">
        <v>6</v>
      </c>
      <c r="EB46" t="s">
        <v>6</v>
      </c>
      <c r="EC46" t="s">
        <v>6</v>
      </c>
      <c r="EE46">
        <v>59670228</v>
      </c>
      <c r="EF46">
        <v>8</v>
      </c>
      <c r="EG46" t="s">
        <v>35</v>
      </c>
      <c r="EH46">
        <v>0</v>
      </c>
      <c r="EI46" t="s">
        <v>6</v>
      </c>
      <c r="EJ46">
        <v>1</v>
      </c>
      <c r="EK46">
        <v>500001</v>
      </c>
      <c r="EL46" t="s">
        <v>36</v>
      </c>
      <c r="EM46" t="s">
        <v>37</v>
      </c>
      <c r="EO46" t="s">
        <v>6</v>
      </c>
      <c r="EQ46">
        <v>0</v>
      </c>
      <c r="ER46">
        <v>11388.17</v>
      </c>
      <c r="ES46" s="67" t="e">
        <f>'1.Лок.смета.и.Акт'!#REF!</f>
        <v>#REF!</v>
      </c>
      <c r="ET46">
        <v>0</v>
      </c>
      <c r="EU46">
        <v>0</v>
      </c>
      <c r="EV46">
        <v>0</v>
      </c>
      <c r="EW46">
        <v>0</v>
      </c>
      <c r="EX46">
        <v>0</v>
      </c>
      <c r="EZ46">
        <v>5</v>
      </c>
      <c r="FC46">
        <v>0</v>
      </c>
      <c r="FD46">
        <v>18</v>
      </c>
      <c r="FF46">
        <v>10829.17</v>
      </c>
      <c r="FQ46">
        <v>0</v>
      </c>
      <c r="FR46">
        <f t="shared" si="16"/>
        <v>0</v>
      </c>
      <c r="FS46">
        <v>0</v>
      </c>
      <c r="FX46">
        <v>0</v>
      </c>
      <c r="FY46">
        <v>0</v>
      </c>
      <c r="GA46" t="s">
        <v>135</v>
      </c>
      <c r="GD46">
        <v>1</v>
      </c>
      <c r="GF46">
        <v>252477108</v>
      </c>
      <c r="GG46">
        <v>2</v>
      </c>
      <c r="GH46">
        <v>3</v>
      </c>
      <c r="GI46">
        <v>4</v>
      </c>
      <c r="GJ46">
        <v>0</v>
      </c>
      <c r="GK46">
        <v>0</v>
      </c>
      <c r="GL46">
        <f t="shared" si="17"/>
        <v>0</v>
      </c>
      <c r="GM46" t="e">
        <f t="shared" si="48"/>
        <v>#REF!</v>
      </c>
      <c r="GN46" t="e">
        <f t="shared" si="18"/>
        <v>#REF!</v>
      </c>
      <c r="GO46">
        <f t="shared" si="19"/>
        <v>0</v>
      </c>
      <c r="GP46">
        <f t="shared" si="20"/>
        <v>0</v>
      </c>
      <c r="GR46">
        <v>1</v>
      </c>
      <c r="GS46">
        <v>1</v>
      </c>
      <c r="GT46">
        <v>0</v>
      </c>
      <c r="GU46" t="s">
        <v>6</v>
      </c>
      <c r="GV46">
        <f t="shared" si="49"/>
        <v>0</v>
      </c>
      <c r="GW46">
        <v>1</v>
      </c>
      <c r="GX46">
        <f t="shared" si="50"/>
        <v>0</v>
      </c>
      <c r="HA46">
        <v>0</v>
      </c>
      <c r="HB46">
        <v>0</v>
      </c>
      <c r="HC46">
        <f t="shared" si="51"/>
        <v>0</v>
      </c>
      <c r="HE46" t="s">
        <v>136</v>
      </c>
      <c r="HF46" t="s">
        <v>38</v>
      </c>
      <c r="HG46" t="e">
        <f>ROUND(AC46*I46,2)</f>
        <v>#REF!</v>
      </c>
      <c r="HM46" t="s">
        <v>6</v>
      </c>
      <c r="HN46" t="s">
        <v>6</v>
      </c>
      <c r="HO46" t="s">
        <v>6</v>
      </c>
      <c r="HP46" t="s">
        <v>6</v>
      </c>
      <c r="HQ46" t="s">
        <v>6</v>
      </c>
      <c r="IF46">
        <v>-1</v>
      </c>
      <c r="IK46">
        <v>0</v>
      </c>
    </row>
    <row r="47" spans="1:247" x14ac:dyDescent="0.2">
      <c r="A47">
        <v>17</v>
      </c>
      <c r="B47">
        <v>1</v>
      </c>
      <c r="C47">
        <f>ROW(SmtRes!A73)</f>
        <v>73</v>
      </c>
      <c r="D47">
        <f>ROW(EtalonRes!A64)</f>
        <v>64</v>
      </c>
      <c r="E47" t="s">
        <v>137</v>
      </c>
      <c r="F47" t="s">
        <v>138</v>
      </c>
      <c r="G47" t="s">
        <v>139</v>
      </c>
      <c r="H47" t="s">
        <v>68</v>
      </c>
      <c r="I47">
        <f>'2.Лок.смета.и.Акт в ЕР'!E146</f>
        <v>0.34</v>
      </c>
      <c r="J47">
        <v>0</v>
      </c>
      <c r="K47">
        <f>ROUND(3.4/10,7)</f>
        <v>0.34</v>
      </c>
      <c r="O47" t="e">
        <f t="shared" si="23"/>
        <v>#REF!</v>
      </c>
      <c r="P47" t="e">
        <f t="shared" si="24"/>
        <v>#REF!</v>
      </c>
      <c r="Q47" t="e">
        <f t="shared" si="25"/>
        <v>#REF!</v>
      </c>
      <c r="R47" t="e">
        <f t="shared" si="26"/>
        <v>#REF!</v>
      </c>
      <c r="S47" t="e">
        <f t="shared" si="27"/>
        <v>#REF!</v>
      </c>
      <c r="T47">
        <f t="shared" si="28"/>
        <v>0</v>
      </c>
      <c r="U47">
        <f t="shared" si="29"/>
        <v>37.944000000000003</v>
      </c>
      <c r="V47">
        <f t="shared" si="30"/>
        <v>5.593</v>
      </c>
      <c r="W47">
        <f t="shared" si="31"/>
        <v>0</v>
      </c>
      <c r="X47" t="e">
        <f t="shared" si="32"/>
        <v>#REF!</v>
      </c>
      <c r="Y47" t="e">
        <f t="shared" si="33"/>
        <v>#REF!</v>
      </c>
      <c r="AA47">
        <v>67643165</v>
      </c>
      <c r="AB47" t="e">
        <f t="shared" si="34"/>
        <v>#REF!</v>
      </c>
      <c r="AC47" t="e">
        <f t="shared" si="35"/>
        <v>#REF!</v>
      </c>
      <c r="AD47" t="e">
        <f t="shared" si="36"/>
        <v>#REF!</v>
      </c>
      <c r="AE47" t="e">
        <f t="shared" si="52"/>
        <v>#REF!</v>
      </c>
      <c r="AF47" t="e">
        <f t="shared" si="54"/>
        <v>#REF!</v>
      </c>
      <c r="AG47">
        <f t="shared" si="37"/>
        <v>0</v>
      </c>
      <c r="AH47">
        <f t="shared" si="55"/>
        <v>111.6</v>
      </c>
      <c r="AI47">
        <f t="shared" si="53"/>
        <v>16.45</v>
      </c>
      <c r="AJ47">
        <f t="shared" si="38"/>
        <v>0</v>
      </c>
      <c r="AK47" t="e">
        <f>AL47+AM47+AO47</f>
        <v>#REF!</v>
      </c>
      <c r="AL47" s="67" t="e">
        <f>'1.Лок.смета.и.Акт'!#REF!</f>
        <v>#REF!</v>
      </c>
      <c r="AM47" s="67" t="e">
        <f>'1.Лок.смета.и.Акт'!#REF!</f>
        <v>#REF!</v>
      </c>
      <c r="AN47" s="67" t="e">
        <f>'1.Лок.смета.и.Акт'!#REF!</f>
        <v>#REF!</v>
      </c>
      <c r="AO47" s="67" t="e">
        <f>'1.Лок.смета.и.Акт'!#REF!</f>
        <v>#REF!</v>
      </c>
      <c r="AP47">
        <v>0</v>
      </c>
      <c r="AQ47">
        <f>'2.Лок.смета.и.Акт в ЕР'!E154</f>
        <v>111.6</v>
      </c>
      <c r="AR47">
        <v>16.45</v>
      </c>
      <c r="AS47">
        <v>0</v>
      </c>
      <c r="AT47">
        <v>117</v>
      </c>
      <c r="AU47">
        <v>74</v>
      </c>
      <c r="AV47">
        <v>1</v>
      </c>
      <c r="AW47">
        <v>1</v>
      </c>
      <c r="AZ47">
        <v>1</v>
      </c>
      <c r="BA47" t="e">
        <f>'1.Лок.смета.и.Акт'!#REF!</f>
        <v>#REF!</v>
      </c>
      <c r="BB47" t="e">
        <f>'1.Лок.смета.и.Акт'!#REF!</f>
        <v>#REF!</v>
      </c>
      <c r="BC47" t="e">
        <f>'1.Лок.смета.и.Акт'!#REF!</f>
        <v>#REF!</v>
      </c>
      <c r="BD47" t="s">
        <v>6</v>
      </c>
      <c r="BE47" t="s">
        <v>6</v>
      </c>
      <c r="BF47" t="s">
        <v>6</v>
      </c>
      <c r="BG47" t="s">
        <v>6</v>
      </c>
      <c r="BH47">
        <v>0</v>
      </c>
      <c r="BI47">
        <v>1</v>
      </c>
      <c r="BJ47" t="s">
        <v>140</v>
      </c>
      <c r="BM47">
        <v>23001</v>
      </c>
      <c r="BN47">
        <v>0</v>
      </c>
      <c r="BO47" t="s">
        <v>6</v>
      </c>
      <c r="BP47">
        <v>0</v>
      </c>
      <c r="BQ47">
        <v>2</v>
      </c>
      <c r="BR47">
        <v>0</v>
      </c>
      <c r="BS47" t="e">
        <f>'1.Лок.смета.и.Акт'!#REF!</f>
        <v>#REF!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6</v>
      </c>
      <c r="BZ47">
        <v>117</v>
      </c>
      <c r="CA47">
        <v>74</v>
      </c>
      <c r="CB47" t="s">
        <v>6</v>
      </c>
      <c r="CE47">
        <v>0</v>
      </c>
      <c r="CF47">
        <v>0</v>
      </c>
      <c r="CG47">
        <v>0</v>
      </c>
      <c r="CM47">
        <v>0</v>
      </c>
      <c r="CN47" t="s">
        <v>6</v>
      </c>
      <c r="CO47">
        <v>0</v>
      </c>
      <c r="CP47" t="e">
        <f t="shared" si="39"/>
        <v>#REF!</v>
      </c>
      <c r="CQ47" t="e">
        <f t="shared" ref="CQ47:CQ53" si="58">AC47*BC47</f>
        <v>#REF!</v>
      </c>
      <c r="CR47" t="e">
        <f t="shared" ref="CR47:CR53" si="59">(((ET47)*BB47-(EU47)*BS47)+AE47*BS47)</f>
        <v>#REF!</v>
      </c>
      <c r="CS47" t="e">
        <f t="shared" si="42"/>
        <v>#REF!</v>
      </c>
      <c r="CT47" t="e">
        <f t="shared" si="43"/>
        <v>#REF!</v>
      </c>
      <c r="CU47">
        <f t="shared" si="44"/>
        <v>0</v>
      </c>
      <c r="CV47">
        <f t="shared" si="45"/>
        <v>111.6</v>
      </c>
      <c r="CW47">
        <f t="shared" si="46"/>
        <v>16.45</v>
      </c>
      <c r="CX47">
        <f t="shared" si="47"/>
        <v>0</v>
      </c>
      <c r="CY47" t="e">
        <f>(((S47+R47)*AT47)/100)</f>
        <v>#REF!</v>
      </c>
      <c r="CZ47" t="e">
        <f>(((S47+R47)*AU47)/100)</f>
        <v>#REF!</v>
      </c>
      <c r="DC47" t="s">
        <v>6</v>
      </c>
      <c r="DD47" t="s">
        <v>6</v>
      </c>
      <c r="DE47" t="s">
        <v>6</v>
      </c>
      <c r="DF47" t="s">
        <v>6</v>
      </c>
      <c r="DG47" t="s">
        <v>6</v>
      </c>
      <c r="DH47" t="s">
        <v>6</v>
      </c>
      <c r="DI47" t="s">
        <v>6</v>
      </c>
      <c r="DJ47" t="s">
        <v>6</v>
      </c>
      <c r="DK47" t="s">
        <v>6</v>
      </c>
      <c r="DL47" t="s">
        <v>6</v>
      </c>
      <c r="DM47" t="s">
        <v>6</v>
      </c>
      <c r="DN47">
        <v>0</v>
      </c>
      <c r="DO47">
        <v>0</v>
      </c>
      <c r="DP47">
        <v>1</v>
      </c>
      <c r="DQ47">
        <v>1</v>
      </c>
      <c r="DU47">
        <v>1007</v>
      </c>
      <c r="DV47" t="s">
        <v>68</v>
      </c>
      <c r="DW47" t="str">
        <f>'2.Лок.смета.и.Акт в ЕР'!D146</f>
        <v>10 м3</v>
      </c>
      <c r="DX47">
        <v>10</v>
      </c>
      <c r="DZ47" t="s">
        <v>6</v>
      </c>
      <c r="EA47" t="s">
        <v>6</v>
      </c>
      <c r="EB47" t="s">
        <v>6</v>
      </c>
      <c r="EC47" t="s">
        <v>6</v>
      </c>
      <c r="EE47">
        <v>59670359</v>
      </c>
      <c r="EF47">
        <v>2</v>
      </c>
      <c r="EG47" t="s">
        <v>23</v>
      </c>
      <c r="EH47">
        <v>18</v>
      </c>
      <c r="EI47" t="s">
        <v>70</v>
      </c>
      <c r="EJ47">
        <v>1</v>
      </c>
      <c r="EK47">
        <v>23001</v>
      </c>
      <c r="EL47" t="s">
        <v>70</v>
      </c>
      <c r="EM47" t="s">
        <v>71</v>
      </c>
      <c r="EO47" t="s">
        <v>6</v>
      </c>
      <c r="EQ47">
        <v>0</v>
      </c>
      <c r="ER47" t="e">
        <f>ES47+ET47+EV47</f>
        <v>#REF!</v>
      </c>
      <c r="ES47" s="67" t="e">
        <f>'1.Лок.смета.и.Акт'!#REF!</f>
        <v>#REF!</v>
      </c>
      <c r="ET47" s="67" t="e">
        <f>'1.Лок.смета.и.Акт'!#REF!</f>
        <v>#REF!</v>
      </c>
      <c r="EU47" s="67" t="e">
        <f>'1.Лок.смета.и.Акт'!#REF!</f>
        <v>#REF!</v>
      </c>
      <c r="EV47" s="67" t="e">
        <f>'1.Лок.смета.и.Акт'!#REF!</f>
        <v>#REF!</v>
      </c>
      <c r="EW47">
        <f>'2.Лок.смета.и.Акт в ЕР'!E154</f>
        <v>111.6</v>
      </c>
      <c r="EX47">
        <v>16.45</v>
      </c>
      <c r="EY47">
        <v>0</v>
      </c>
      <c r="FQ47">
        <v>0</v>
      </c>
      <c r="FR47">
        <f t="shared" si="16"/>
        <v>0</v>
      </c>
      <c r="FS47">
        <v>0</v>
      </c>
      <c r="FX47">
        <v>117</v>
      </c>
      <c r="FY47">
        <v>74</v>
      </c>
      <c r="GA47" t="s">
        <v>6</v>
      </c>
      <c r="GD47">
        <v>1</v>
      </c>
      <c r="GF47">
        <v>-1586608555</v>
      </c>
      <c r="GG47">
        <v>2</v>
      </c>
      <c r="GH47">
        <v>1</v>
      </c>
      <c r="GI47">
        <v>4</v>
      </c>
      <c r="GJ47">
        <v>0</v>
      </c>
      <c r="GK47">
        <v>0</v>
      </c>
      <c r="GL47">
        <f t="shared" si="17"/>
        <v>0</v>
      </c>
      <c r="GM47" t="e">
        <f t="shared" si="48"/>
        <v>#REF!</v>
      </c>
      <c r="GN47" t="e">
        <f t="shared" si="18"/>
        <v>#REF!</v>
      </c>
      <c r="GO47">
        <f t="shared" si="19"/>
        <v>0</v>
      </c>
      <c r="GP47">
        <f t="shared" si="20"/>
        <v>0</v>
      </c>
      <c r="GR47">
        <v>0</v>
      </c>
      <c r="GS47">
        <v>3</v>
      </c>
      <c r="GT47">
        <v>0</v>
      </c>
      <c r="GU47" t="s">
        <v>6</v>
      </c>
      <c r="GV47">
        <f t="shared" si="49"/>
        <v>0</v>
      </c>
      <c r="GW47">
        <v>1</v>
      </c>
      <c r="GX47">
        <f t="shared" si="50"/>
        <v>0</v>
      </c>
      <c r="HA47">
        <v>0</v>
      </c>
      <c r="HB47">
        <v>0</v>
      </c>
      <c r="HC47">
        <f t="shared" si="51"/>
        <v>0</v>
      </c>
      <c r="HE47" t="s">
        <v>6</v>
      </c>
      <c r="HF47" t="s">
        <v>6</v>
      </c>
      <c r="HM47" t="s">
        <v>6</v>
      </c>
      <c r="HN47" t="s">
        <v>72</v>
      </c>
      <c r="HO47" t="s">
        <v>73</v>
      </c>
      <c r="HP47" t="s">
        <v>70</v>
      </c>
      <c r="HQ47" t="s">
        <v>70</v>
      </c>
      <c r="IF47">
        <v>-1</v>
      </c>
      <c r="IK47">
        <v>0</v>
      </c>
      <c r="IL47" t="s">
        <v>519</v>
      </c>
      <c r="IM47">
        <v>0.34</v>
      </c>
    </row>
    <row r="48" spans="1:247" x14ac:dyDescent="0.2">
      <c r="A48">
        <v>18</v>
      </c>
      <c r="B48">
        <v>1</v>
      </c>
      <c r="C48">
        <v>69</v>
      </c>
      <c r="E48" t="s">
        <v>141</v>
      </c>
      <c r="F48" t="str">
        <f>'2.Лок.смета.и.Акт в ЕР'!B155</f>
        <v>05.1.01.09-0065</v>
      </c>
      <c r="G48" t="s">
        <v>143</v>
      </c>
      <c r="H48" t="s">
        <v>99</v>
      </c>
      <c r="I48">
        <f>I47*J48</f>
        <v>1</v>
      </c>
      <c r="J48" s="211">
        <f>'6.Ведомость_списания'!F66</f>
        <v>2.9411764705882351</v>
      </c>
      <c r="K48">
        <v>2.9411765000000001</v>
      </c>
      <c r="O48" t="e">
        <f t="shared" si="23"/>
        <v>#REF!</v>
      </c>
      <c r="P48" t="e">
        <f t="shared" si="24"/>
        <v>#REF!</v>
      </c>
      <c r="Q48">
        <f t="shared" si="25"/>
        <v>0</v>
      </c>
      <c r="R48">
        <f t="shared" si="26"/>
        <v>0</v>
      </c>
      <c r="S48">
        <f t="shared" si="27"/>
        <v>0</v>
      </c>
      <c r="T48">
        <f t="shared" si="28"/>
        <v>0</v>
      </c>
      <c r="U48">
        <f t="shared" si="29"/>
        <v>0</v>
      </c>
      <c r="V48">
        <f t="shared" si="30"/>
        <v>0</v>
      </c>
      <c r="W48">
        <f t="shared" si="31"/>
        <v>0</v>
      </c>
      <c r="X48">
        <f t="shared" si="32"/>
        <v>0</v>
      </c>
      <c r="Y48">
        <f t="shared" si="33"/>
        <v>0</v>
      </c>
      <c r="AA48">
        <v>67643165</v>
      </c>
      <c r="AB48" t="e">
        <f t="shared" si="34"/>
        <v>#REF!</v>
      </c>
      <c r="AC48" t="e">
        <f t="shared" si="35"/>
        <v>#REF!</v>
      </c>
      <c r="AD48">
        <f t="shared" si="36"/>
        <v>0</v>
      </c>
      <c r="AE48">
        <f t="shared" si="52"/>
        <v>0</v>
      </c>
      <c r="AF48">
        <f t="shared" si="54"/>
        <v>0</v>
      </c>
      <c r="AG48">
        <f t="shared" si="37"/>
        <v>0</v>
      </c>
      <c r="AH48">
        <f t="shared" si="55"/>
        <v>0</v>
      </c>
      <c r="AI48">
        <f t="shared" si="53"/>
        <v>0</v>
      </c>
      <c r="AJ48">
        <f t="shared" si="38"/>
        <v>0</v>
      </c>
      <c r="AK48">
        <v>647.77</v>
      </c>
      <c r="AL48" s="67" t="e">
        <f>'1.Лок.смета.и.Акт'!#REF!</f>
        <v>#REF!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1</v>
      </c>
      <c r="AW48">
        <v>1</v>
      </c>
      <c r="AZ48">
        <v>1</v>
      </c>
      <c r="BA48">
        <v>1</v>
      </c>
      <c r="BB48">
        <v>1</v>
      </c>
      <c r="BC48" t="e">
        <f>'1.Лок.смета.и.Акт'!#REF!</f>
        <v>#REF!</v>
      </c>
      <c r="BD48" t="s">
        <v>6</v>
      </c>
      <c r="BE48" t="s">
        <v>6</v>
      </c>
      <c r="BF48" t="s">
        <v>6</v>
      </c>
      <c r="BG48" t="s">
        <v>6</v>
      </c>
      <c r="BH48">
        <v>3</v>
      </c>
      <c r="BI48">
        <v>1</v>
      </c>
      <c r="BJ48" t="s">
        <v>144</v>
      </c>
      <c r="BM48">
        <v>500001</v>
      </c>
      <c r="BN48">
        <v>0</v>
      </c>
      <c r="BO48" t="s">
        <v>6</v>
      </c>
      <c r="BP48">
        <v>0</v>
      </c>
      <c r="BQ48">
        <v>8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6</v>
      </c>
      <c r="BZ48">
        <v>0</v>
      </c>
      <c r="CA48">
        <v>0</v>
      </c>
      <c r="CB48" t="s">
        <v>6</v>
      </c>
      <c r="CE48">
        <v>0</v>
      </c>
      <c r="CF48">
        <v>0</v>
      </c>
      <c r="CG48">
        <v>0</v>
      </c>
      <c r="CM48">
        <v>0</v>
      </c>
      <c r="CN48" t="s">
        <v>6</v>
      </c>
      <c r="CO48">
        <v>0</v>
      </c>
      <c r="CP48" t="e">
        <f t="shared" si="39"/>
        <v>#REF!</v>
      </c>
      <c r="CQ48" t="e">
        <f t="shared" si="58"/>
        <v>#REF!</v>
      </c>
      <c r="CR48">
        <f t="shared" si="59"/>
        <v>0</v>
      </c>
      <c r="CS48">
        <f t="shared" si="42"/>
        <v>0</v>
      </c>
      <c r="CT48">
        <f t="shared" si="43"/>
        <v>0</v>
      </c>
      <c r="CU48">
        <f t="shared" si="44"/>
        <v>0</v>
      </c>
      <c r="CV48">
        <f t="shared" si="45"/>
        <v>0</v>
      </c>
      <c r="CW48">
        <f t="shared" si="46"/>
        <v>0</v>
      </c>
      <c r="CX48">
        <f t="shared" si="47"/>
        <v>0</v>
      </c>
      <c r="CY48">
        <f>0</f>
        <v>0</v>
      </c>
      <c r="CZ48">
        <f>0</f>
        <v>0</v>
      </c>
      <c r="DC48" t="s">
        <v>6</v>
      </c>
      <c r="DD48" t="s">
        <v>6</v>
      </c>
      <c r="DE48" t="s">
        <v>6</v>
      </c>
      <c r="DF48" t="s">
        <v>6</v>
      </c>
      <c r="DG48" t="s">
        <v>6</v>
      </c>
      <c r="DH48" t="s">
        <v>6</v>
      </c>
      <c r="DI48" t="s">
        <v>6</v>
      </c>
      <c r="DJ48" t="s">
        <v>6</v>
      </c>
      <c r="DK48" t="s">
        <v>6</v>
      </c>
      <c r="DL48" t="s">
        <v>6</v>
      </c>
      <c r="DM48" t="s">
        <v>6</v>
      </c>
      <c r="DN48">
        <v>0</v>
      </c>
      <c r="DO48">
        <v>0</v>
      </c>
      <c r="DP48">
        <v>1</v>
      </c>
      <c r="DQ48">
        <v>1</v>
      </c>
      <c r="DU48">
        <v>1013</v>
      </c>
      <c r="DV48" t="s">
        <v>99</v>
      </c>
      <c r="DW48" t="str">
        <f>'2.Лок.смета.и.Акт в ЕР'!D155</f>
        <v>ШТ</v>
      </c>
      <c r="DX48">
        <v>1</v>
      </c>
      <c r="DZ48" t="s">
        <v>6</v>
      </c>
      <c r="EA48" t="s">
        <v>6</v>
      </c>
      <c r="EB48" t="s">
        <v>6</v>
      </c>
      <c r="EC48" t="s">
        <v>6</v>
      </c>
      <c r="EE48">
        <v>59670228</v>
      </c>
      <c r="EF48">
        <v>8</v>
      </c>
      <c r="EG48" t="s">
        <v>35</v>
      </c>
      <c r="EH48">
        <v>0</v>
      </c>
      <c r="EI48" t="s">
        <v>6</v>
      </c>
      <c r="EJ48">
        <v>1</v>
      </c>
      <c r="EK48">
        <v>500001</v>
      </c>
      <c r="EL48" t="s">
        <v>36</v>
      </c>
      <c r="EM48" t="s">
        <v>37</v>
      </c>
      <c r="EO48" t="s">
        <v>6</v>
      </c>
      <c r="EQ48">
        <v>0</v>
      </c>
      <c r="ER48">
        <v>647.77</v>
      </c>
      <c r="ES48" s="67" t="e">
        <f>'1.Лок.смета.и.Акт'!#REF!</f>
        <v>#REF!</v>
      </c>
      <c r="ET48">
        <v>0</v>
      </c>
      <c r="EU48">
        <v>0</v>
      </c>
      <c r="EV48">
        <v>0</v>
      </c>
      <c r="EW48">
        <v>0</v>
      </c>
      <c r="EX48">
        <v>0</v>
      </c>
      <c r="FQ48">
        <v>0</v>
      </c>
      <c r="FR48">
        <f t="shared" si="16"/>
        <v>0</v>
      </c>
      <c r="FS48">
        <v>0</v>
      </c>
      <c r="FX48">
        <v>0</v>
      </c>
      <c r="FY48">
        <v>0</v>
      </c>
      <c r="GA48" t="s">
        <v>6</v>
      </c>
      <c r="GD48">
        <v>1</v>
      </c>
      <c r="GF48">
        <v>-2008874849</v>
      </c>
      <c r="GG48">
        <v>2</v>
      </c>
      <c r="GH48">
        <v>1</v>
      </c>
      <c r="GI48">
        <v>4</v>
      </c>
      <c r="GJ48">
        <v>0</v>
      </c>
      <c r="GK48">
        <v>0</v>
      </c>
      <c r="GL48">
        <f t="shared" si="17"/>
        <v>0</v>
      </c>
      <c r="GM48" t="e">
        <f t="shared" si="48"/>
        <v>#REF!</v>
      </c>
      <c r="GN48" t="e">
        <f t="shared" si="18"/>
        <v>#REF!</v>
      </c>
      <c r="GO48">
        <f t="shared" si="19"/>
        <v>0</v>
      </c>
      <c r="GP48">
        <f t="shared" si="20"/>
        <v>0</v>
      </c>
      <c r="GR48">
        <v>0</v>
      </c>
      <c r="GS48">
        <v>3</v>
      </c>
      <c r="GT48">
        <v>0</v>
      </c>
      <c r="GU48" t="s">
        <v>6</v>
      </c>
      <c r="GV48">
        <f t="shared" si="49"/>
        <v>0</v>
      </c>
      <c r="GW48">
        <v>1</v>
      </c>
      <c r="GX48">
        <f t="shared" si="50"/>
        <v>0</v>
      </c>
      <c r="HA48">
        <v>0</v>
      </c>
      <c r="HB48">
        <v>0</v>
      </c>
      <c r="HC48">
        <f t="shared" si="51"/>
        <v>0</v>
      </c>
      <c r="HE48" t="s">
        <v>6</v>
      </c>
      <c r="HF48" t="s">
        <v>6</v>
      </c>
      <c r="HM48" t="s">
        <v>6</v>
      </c>
      <c r="HN48" t="s">
        <v>6</v>
      </c>
      <c r="HO48" t="s">
        <v>6</v>
      </c>
      <c r="HP48" t="s">
        <v>6</v>
      </c>
      <c r="HQ48" t="s">
        <v>6</v>
      </c>
      <c r="IF48">
        <v>-1</v>
      </c>
      <c r="IK48">
        <v>0</v>
      </c>
    </row>
    <row r="49" spans="1:247" x14ac:dyDescent="0.2">
      <c r="A49">
        <v>18</v>
      </c>
      <c r="B49">
        <v>1</v>
      </c>
      <c r="C49">
        <v>68</v>
      </c>
      <c r="E49" t="s">
        <v>145</v>
      </c>
      <c r="F49" t="str">
        <f>'2.Лок.смета.и.Акт в ЕР'!B156</f>
        <v>05.1.01.09-0063</v>
      </c>
      <c r="G49" t="s">
        <v>147</v>
      </c>
      <c r="H49" t="s">
        <v>99</v>
      </c>
      <c r="I49">
        <f>I47*J49</f>
        <v>2</v>
      </c>
      <c r="J49" s="211">
        <f>'6.Ведомость_списания'!F67</f>
        <v>5.8823529411764701</v>
      </c>
      <c r="K49">
        <v>5.8823528999999999</v>
      </c>
      <c r="O49" t="e">
        <f t="shared" si="23"/>
        <v>#REF!</v>
      </c>
      <c r="P49" t="e">
        <f t="shared" si="24"/>
        <v>#REF!</v>
      </c>
      <c r="Q49">
        <f t="shared" si="25"/>
        <v>0</v>
      </c>
      <c r="R49">
        <f t="shared" si="26"/>
        <v>0</v>
      </c>
      <c r="S49">
        <f t="shared" si="27"/>
        <v>0</v>
      </c>
      <c r="T49">
        <f t="shared" si="28"/>
        <v>0</v>
      </c>
      <c r="U49">
        <f t="shared" si="29"/>
        <v>0</v>
      </c>
      <c r="V49">
        <f t="shared" si="30"/>
        <v>0</v>
      </c>
      <c r="W49">
        <f t="shared" si="31"/>
        <v>0</v>
      </c>
      <c r="X49">
        <f t="shared" si="32"/>
        <v>0</v>
      </c>
      <c r="Y49">
        <f t="shared" si="33"/>
        <v>0</v>
      </c>
      <c r="AA49">
        <v>67643165</v>
      </c>
      <c r="AB49" t="e">
        <f t="shared" si="34"/>
        <v>#REF!</v>
      </c>
      <c r="AC49" t="e">
        <f t="shared" si="35"/>
        <v>#REF!</v>
      </c>
      <c r="AD49">
        <f t="shared" si="36"/>
        <v>0</v>
      </c>
      <c r="AE49">
        <f t="shared" si="52"/>
        <v>0</v>
      </c>
      <c r="AF49">
        <f t="shared" si="54"/>
        <v>0</v>
      </c>
      <c r="AG49">
        <f t="shared" si="37"/>
        <v>0</v>
      </c>
      <c r="AH49">
        <f t="shared" si="55"/>
        <v>0</v>
      </c>
      <c r="AI49">
        <f t="shared" si="53"/>
        <v>0</v>
      </c>
      <c r="AJ49">
        <f t="shared" si="38"/>
        <v>0</v>
      </c>
      <c r="AK49">
        <v>429.96</v>
      </c>
      <c r="AL49" s="67" t="e">
        <f>'1.Лок.смета.и.Акт'!#REF!</f>
        <v>#REF!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</v>
      </c>
      <c r="AW49">
        <v>1</v>
      </c>
      <c r="AZ49">
        <v>1</v>
      </c>
      <c r="BA49">
        <v>1</v>
      </c>
      <c r="BB49">
        <v>1</v>
      </c>
      <c r="BC49" t="e">
        <f>'1.Лок.смета.и.Акт'!#REF!</f>
        <v>#REF!</v>
      </c>
      <c r="BD49" t="s">
        <v>6</v>
      </c>
      <c r="BE49" t="s">
        <v>6</v>
      </c>
      <c r="BF49" t="s">
        <v>6</v>
      </c>
      <c r="BG49" t="s">
        <v>6</v>
      </c>
      <c r="BH49">
        <v>3</v>
      </c>
      <c r="BI49">
        <v>1</v>
      </c>
      <c r="BJ49" t="s">
        <v>148</v>
      </c>
      <c r="BM49">
        <v>500001</v>
      </c>
      <c r="BN49">
        <v>0</v>
      </c>
      <c r="BO49" t="s">
        <v>6</v>
      </c>
      <c r="BP49">
        <v>0</v>
      </c>
      <c r="BQ49">
        <v>8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6</v>
      </c>
      <c r="BZ49">
        <v>0</v>
      </c>
      <c r="CA49">
        <v>0</v>
      </c>
      <c r="CB49" t="s">
        <v>6</v>
      </c>
      <c r="CE49">
        <v>0</v>
      </c>
      <c r="CF49">
        <v>0</v>
      </c>
      <c r="CG49">
        <v>0</v>
      </c>
      <c r="CM49">
        <v>0</v>
      </c>
      <c r="CN49" t="s">
        <v>6</v>
      </c>
      <c r="CO49">
        <v>0</v>
      </c>
      <c r="CP49" t="e">
        <f t="shared" si="39"/>
        <v>#REF!</v>
      </c>
      <c r="CQ49" t="e">
        <f t="shared" si="58"/>
        <v>#REF!</v>
      </c>
      <c r="CR49">
        <f t="shared" si="59"/>
        <v>0</v>
      </c>
      <c r="CS49">
        <f t="shared" si="42"/>
        <v>0</v>
      </c>
      <c r="CT49">
        <f t="shared" si="43"/>
        <v>0</v>
      </c>
      <c r="CU49">
        <f t="shared" si="44"/>
        <v>0</v>
      </c>
      <c r="CV49">
        <f t="shared" si="45"/>
        <v>0</v>
      </c>
      <c r="CW49">
        <f t="shared" si="46"/>
        <v>0</v>
      </c>
      <c r="CX49">
        <f t="shared" si="47"/>
        <v>0</v>
      </c>
      <c r="CY49">
        <f>0</f>
        <v>0</v>
      </c>
      <c r="CZ49">
        <f>0</f>
        <v>0</v>
      </c>
      <c r="DC49" t="s">
        <v>6</v>
      </c>
      <c r="DD49" t="s">
        <v>6</v>
      </c>
      <c r="DE49" t="s">
        <v>6</v>
      </c>
      <c r="DF49" t="s">
        <v>6</v>
      </c>
      <c r="DG49" t="s">
        <v>6</v>
      </c>
      <c r="DH49" t="s">
        <v>6</v>
      </c>
      <c r="DI49" t="s">
        <v>6</v>
      </c>
      <c r="DJ49" t="s">
        <v>6</v>
      </c>
      <c r="DK49" t="s">
        <v>6</v>
      </c>
      <c r="DL49" t="s">
        <v>6</v>
      </c>
      <c r="DM49" t="s">
        <v>6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99</v>
      </c>
      <c r="DW49" t="str">
        <f>'2.Лок.смета.и.Акт в ЕР'!D156</f>
        <v>ШТ</v>
      </c>
      <c r="DX49">
        <v>1</v>
      </c>
      <c r="DZ49" t="s">
        <v>6</v>
      </c>
      <c r="EA49" t="s">
        <v>6</v>
      </c>
      <c r="EB49" t="s">
        <v>6</v>
      </c>
      <c r="EC49" t="s">
        <v>6</v>
      </c>
      <c r="EE49">
        <v>59670228</v>
      </c>
      <c r="EF49">
        <v>8</v>
      </c>
      <c r="EG49" t="s">
        <v>35</v>
      </c>
      <c r="EH49">
        <v>0</v>
      </c>
      <c r="EI49" t="s">
        <v>6</v>
      </c>
      <c r="EJ49">
        <v>1</v>
      </c>
      <c r="EK49">
        <v>500001</v>
      </c>
      <c r="EL49" t="s">
        <v>36</v>
      </c>
      <c r="EM49" t="s">
        <v>37</v>
      </c>
      <c r="EO49" t="s">
        <v>6</v>
      </c>
      <c r="EQ49">
        <v>0</v>
      </c>
      <c r="ER49">
        <v>429.96</v>
      </c>
      <c r="ES49" s="67" t="e">
        <f>'1.Лок.смета.и.Акт'!#REF!</f>
        <v>#REF!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16"/>
        <v>0</v>
      </c>
      <c r="FS49">
        <v>0</v>
      </c>
      <c r="FX49">
        <v>0</v>
      </c>
      <c r="FY49">
        <v>0</v>
      </c>
      <c r="GA49" t="s">
        <v>6</v>
      </c>
      <c r="GD49">
        <v>1</v>
      </c>
      <c r="GF49">
        <v>-442914544</v>
      </c>
      <c r="GG49">
        <v>2</v>
      </c>
      <c r="GH49">
        <v>1</v>
      </c>
      <c r="GI49">
        <v>4</v>
      </c>
      <c r="GJ49">
        <v>0</v>
      </c>
      <c r="GK49">
        <v>0</v>
      </c>
      <c r="GL49">
        <f t="shared" si="17"/>
        <v>0</v>
      </c>
      <c r="GM49" t="e">
        <f t="shared" si="48"/>
        <v>#REF!</v>
      </c>
      <c r="GN49" t="e">
        <f t="shared" si="18"/>
        <v>#REF!</v>
      </c>
      <c r="GO49">
        <f t="shared" si="19"/>
        <v>0</v>
      </c>
      <c r="GP49">
        <f t="shared" si="20"/>
        <v>0</v>
      </c>
      <c r="GR49">
        <v>0</v>
      </c>
      <c r="GS49">
        <v>3</v>
      </c>
      <c r="GT49">
        <v>0</v>
      </c>
      <c r="GU49" t="s">
        <v>6</v>
      </c>
      <c r="GV49">
        <f t="shared" si="49"/>
        <v>0</v>
      </c>
      <c r="GW49">
        <v>1</v>
      </c>
      <c r="GX49">
        <f t="shared" si="50"/>
        <v>0</v>
      </c>
      <c r="HA49">
        <v>0</v>
      </c>
      <c r="HB49">
        <v>0</v>
      </c>
      <c r="HC49">
        <f t="shared" si="51"/>
        <v>0</v>
      </c>
      <c r="HE49" t="s">
        <v>6</v>
      </c>
      <c r="HF49" t="s">
        <v>6</v>
      </c>
      <c r="HM49" t="s">
        <v>6</v>
      </c>
      <c r="HN49" t="s">
        <v>6</v>
      </c>
      <c r="HO49" t="s">
        <v>6</v>
      </c>
      <c r="HP49" t="s">
        <v>6</v>
      </c>
      <c r="HQ49" t="s">
        <v>6</v>
      </c>
      <c r="IF49">
        <v>-1</v>
      </c>
      <c r="IK49">
        <v>0</v>
      </c>
    </row>
    <row r="50" spans="1:247" x14ac:dyDescent="0.2">
      <c r="A50">
        <v>18</v>
      </c>
      <c r="B50">
        <v>1</v>
      </c>
      <c r="C50">
        <v>70</v>
      </c>
      <c r="E50" t="s">
        <v>149</v>
      </c>
      <c r="F50" t="str">
        <f>'2.Лок.смета.и.Акт в ЕР'!B157</f>
        <v>05.1.01.11-0045</v>
      </c>
      <c r="G50" t="s">
        <v>151</v>
      </c>
      <c r="H50" t="s">
        <v>99</v>
      </c>
      <c r="I50">
        <f>I47*J50</f>
        <v>1</v>
      </c>
      <c r="J50" s="211">
        <f>'6.Ведомость_списания'!F68</f>
        <v>2.9411764705882351</v>
      </c>
      <c r="K50">
        <v>2.9411765000000001</v>
      </c>
      <c r="O50" t="e">
        <f t="shared" si="23"/>
        <v>#REF!</v>
      </c>
      <c r="P50" t="e">
        <f t="shared" si="24"/>
        <v>#REF!</v>
      </c>
      <c r="Q50">
        <f t="shared" si="25"/>
        <v>0</v>
      </c>
      <c r="R50">
        <f t="shared" si="26"/>
        <v>0</v>
      </c>
      <c r="S50">
        <f t="shared" si="27"/>
        <v>0</v>
      </c>
      <c r="T50">
        <f t="shared" si="28"/>
        <v>0</v>
      </c>
      <c r="U50">
        <f t="shared" si="29"/>
        <v>0</v>
      </c>
      <c r="V50">
        <f t="shared" si="30"/>
        <v>0</v>
      </c>
      <c r="W50">
        <f t="shared" si="31"/>
        <v>0</v>
      </c>
      <c r="X50">
        <f t="shared" si="32"/>
        <v>0</v>
      </c>
      <c r="Y50">
        <f t="shared" si="33"/>
        <v>0</v>
      </c>
      <c r="AA50">
        <v>67643165</v>
      </c>
      <c r="AB50" t="e">
        <f t="shared" si="34"/>
        <v>#REF!</v>
      </c>
      <c r="AC50" t="e">
        <f t="shared" si="35"/>
        <v>#REF!</v>
      </c>
      <c r="AD50">
        <f t="shared" si="36"/>
        <v>0</v>
      </c>
      <c r="AE50">
        <f t="shared" si="52"/>
        <v>0</v>
      </c>
      <c r="AF50">
        <f t="shared" si="54"/>
        <v>0</v>
      </c>
      <c r="AG50">
        <f t="shared" si="37"/>
        <v>0</v>
      </c>
      <c r="AH50">
        <f t="shared" si="55"/>
        <v>0</v>
      </c>
      <c r="AI50">
        <f t="shared" si="53"/>
        <v>0</v>
      </c>
      <c r="AJ50">
        <f t="shared" si="38"/>
        <v>0</v>
      </c>
      <c r="AK50">
        <v>462.83</v>
      </c>
      <c r="AL50" s="67" t="e">
        <f>'1.Лок.смета.и.Акт'!#REF!</f>
        <v>#REF!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1</v>
      </c>
      <c r="AW50">
        <v>1</v>
      </c>
      <c r="AZ50">
        <v>1</v>
      </c>
      <c r="BA50">
        <v>1</v>
      </c>
      <c r="BB50">
        <v>1</v>
      </c>
      <c r="BC50" t="e">
        <f>'1.Лок.смета.и.Акт'!#REF!</f>
        <v>#REF!</v>
      </c>
      <c r="BD50" t="s">
        <v>6</v>
      </c>
      <c r="BE50" t="s">
        <v>6</v>
      </c>
      <c r="BF50" t="s">
        <v>6</v>
      </c>
      <c r="BG50" t="s">
        <v>6</v>
      </c>
      <c r="BH50">
        <v>3</v>
      </c>
      <c r="BI50">
        <v>1</v>
      </c>
      <c r="BJ50" t="s">
        <v>152</v>
      </c>
      <c r="BM50">
        <v>500001</v>
      </c>
      <c r="BN50">
        <v>0</v>
      </c>
      <c r="BO50" t="s">
        <v>6</v>
      </c>
      <c r="BP50">
        <v>0</v>
      </c>
      <c r="BQ50">
        <v>8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6</v>
      </c>
      <c r="BZ50">
        <v>0</v>
      </c>
      <c r="CA50">
        <v>0</v>
      </c>
      <c r="CB50" t="s">
        <v>6</v>
      </c>
      <c r="CE50">
        <v>0</v>
      </c>
      <c r="CF50">
        <v>0</v>
      </c>
      <c r="CG50">
        <v>0</v>
      </c>
      <c r="CM50">
        <v>0</v>
      </c>
      <c r="CN50" t="s">
        <v>6</v>
      </c>
      <c r="CO50">
        <v>0</v>
      </c>
      <c r="CP50" t="e">
        <f t="shared" si="39"/>
        <v>#REF!</v>
      </c>
      <c r="CQ50" t="e">
        <f t="shared" si="58"/>
        <v>#REF!</v>
      </c>
      <c r="CR50">
        <f t="shared" si="59"/>
        <v>0</v>
      </c>
      <c r="CS50">
        <f t="shared" si="42"/>
        <v>0</v>
      </c>
      <c r="CT50">
        <f t="shared" si="43"/>
        <v>0</v>
      </c>
      <c r="CU50">
        <f t="shared" si="44"/>
        <v>0</v>
      </c>
      <c r="CV50">
        <f t="shared" si="45"/>
        <v>0</v>
      </c>
      <c r="CW50">
        <f t="shared" si="46"/>
        <v>0</v>
      </c>
      <c r="CX50">
        <f t="shared" si="47"/>
        <v>0</v>
      </c>
      <c r="CY50">
        <f>0</f>
        <v>0</v>
      </c>
      <c r="CZ50">
        <f>0</f>
        <v>0</v>
      </c>
      <c r="DC50" t="s">
        <v>6</v>
      </c>
      <c r="DD50" t="s">
        <v>6</v>
      </c>
      <c r="DE50" t="s">
        <v>6</v>
      </c>
      <c r="DF50" t="s">
        <v>6</v>
      </c>
      <c r="DG50" t="s">
        <v>6</v>
      </c>
      <c r="DH50" t="s">
        <v>6</v>
      </c>
      <c r="DI50" t="s">
        <v>6</v>
      </c>
      <c r="DJ50" t="s">
        <v>6</v>
      </c>
      <c r="DK50" t="s">
        <v>6</v>
      </c>
      <c r="DL50" t="s">
        <v>6</v>
      </c>
      <c r="DM50" t="s">
        <v>6</v>
      </c>
      <c r="DN50">
        <v>0</v>
      </c>
      <c r="DO50">
        <v>0</v>
      </c>
      <c r="DP50">
        <v>1</v>
      </c>
      <c r="DQ50">
        <v>1</v>
      </c>
      <c r="DU50">
        <v>1013</v>
      </c>
      <c r="DV50" t="s">
        <v>99</v>
      </c>
      <c r="DW50" t="str">
        <f>'2.Лок.смета.и.Акт в ЕР'!D157</f>
        <v>ШТ</v>
      </c>
      <c r="DX50">
        <v>1</v>
      </c>
      <c r="DZ50" t="s">
        <v>6</v>
      </c>
      <c r="EA50" t="s">
        <v>6</v>
      </c>
      <c r="EB50" t="s">
        <v>6</v>
      </c>
      <c r="EC50" t="s">
        <v>6</v>
      </c>
      <c r="EE50">
        <v>59670228</v>
      </c>
      <c r="EF50">
        <v>8</v>
      </c>
      <c r="EG50" t="s">
        <v>35</v>
      </c>
      <c r="EH50">
        <v>0</v>
      </c>
      <c r="EI50" t="s">
        <v>6</v>
      </c>
      <c r="EJ50">
        <v>1</v>
      </c>
      <c r="EK50">
        <v>500001</v>
      </c>
      <c r="EL50" t="s">
        <v>36</v>
      </c>
      <c r="EM50" t="s">
        <v>37</v>
      </c>
      <c r="EO50" t="s">
        <v>6</v>
      </c>
      <c r="EQ50">
        <v>0</v>
      </c>
      <c r="ER50">
        <v>462.83</v>
      </c>
      <c r="ES50" s="67" t="e">
        <f>'1.Лок.смета.и.Акт'!#REF!</f>
        <v>#REF!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f t="shared" si="16"/>
        <v>0</v>
      </c>
      <c r="FS50">
        <v>0</v>
      </c>
      <c r="FX50">
        <v>0</v>
      </c>
      <c r="FY50">
        <v>0</v>
      </c>
      <c r="GA50" t="s">
        <v>6</v>
      </c>
      <c r="GD50">
        <v>1</v>
      </c>
      <c r="GF50">
        <v>603128293</v>
      </c>
      <c r="GG50">
        <v>2</v>
      </c>
      <c r="GH50">
        <v>1</v>
      </c>
      <c r="GI50">
        <v>4</v>
      </c>
      <c r="GJ50">
        <v>0</v>
      </c>
      <c r="GK50">
        <v>0</v>
      </c>
      <c r="GL50">
        <f t="shared" si="17"/>
        <v>0</v>
      </c>
      <c r="GM50" t="e">
        <f t="shared" si="48"/>
        <v>#REF!</v>
      </c>
      <c r="GN50" t="e">
        <f t="shared" si="18"/>
        <v>#REF!</v>
      </c>
      <c r="GO50">
        <f t="shared" si="19"/>
        <v>0</v>
      </c>
      <c r="GP50">
        <f t="shared" si="20"/>
        <v>0</v>
      </c>
      <c r="GR50">
        <v>0</v>
      </c>
      <c r="GS50">
        <v>3</v>
      </c>
      <c r="GT50">
        <v>0</v>
      </c>
      <c r="GU50" t="s">
        <v>6</v>
      </c>
      <c r="GV50">
        <f t="shared" si="49"/>
        <v>0</v>
      </c>
      <c r="GW50">
        <v>1</v>
      </c>
      <c r="GX50">
        <f t="shared" si="50"/>
        <v>0</v>
      </c>
      <c r="HA50">
        <v>0</v>
      </c>
      <c r="HB50">
        <v>0</v>
      </c>
      <c r="HC50">
        <f t="shared" si="51"/>
        <v>0</v>
      </c>
      <c r="HE50" t="s">
        <v>6</v>
      </c>
      <c r="HF50" t="s">
        <v>6</v>
      </c>
      <c r="HM50" t="s">
        <v>6</v>
      </c>
      <c r="HN50" t="s">
        <v>6</v>
      </c>
      <c r="HO50" t="s">
        <v>6</v>
      </c>
      <c r="HP50" t="s">
        <v>6</v>
      </c>
      <c r="HQ50" t="s">
        <v>6</v>
      </c>
      <c r="IF50">
        <v>-1</v>
      </c>
      <c r="IK50">
        <v>0</v>
      </c>
    </row>
    <row r="51" spans="1:247" x14ac:dyDescent="0.2">
      <c r="A51">
        <v>18</v>
      </c>
      <c r="B51">
        <v>1</v>
      </c>
      <c r="C51">
        <v>71</v>
      </c>
      <c r="E51" t="s">
        <v>153</v>
      </c>
      <c r="F51" t="str">
        <f>'2.Лок.смета.и.Акт в ЕР'!B158</f>
        <v>05.1.06.09-0088</v>
      </c>
      <c r="G51" t="s">
        <v>116</v>
      </c>
      <c r="H51" t="s">
        <v>99</v>
      </c>
      <c r="I51">
        <f>I47*J51</f>
        <v>1</v>
      </c>
      <c r="J51" s="211">
        <f>'6.Ведомость_списания'!F69</f>
        <v>2.9411764705882351</v>
      </c>
      <c r="K51">
        <v>2.9411765000000001</v>
      </c>
      <c r="O51" t="e">
        <f t="shared" si="23"/>
        <v>#REF!</v>
      </c>
      <c r="P51" t="e">
        <f t="shared" si="24"/>
        <v>#REF!</v>
      </c>
      <c r="Q51">
        <f t="shared" si="25"/>
        <v>0</v>
      </c>
      <c r="R51">
        <f t="shared" si="26"/>
        <v>0</v>
      </c>
      <c r="S51">
        <f t="shared" si="27"/>
        <v>0</v>
      </c>
      <c r="T51">
        <f t="shared" si="28"/>
        <v>0</v>
      </c>
      <c r="U51">
        <f t="shared" si="29"/>
        <v>0</v>
      </c>
      <c r="V51">
        <f t="shared" si="30"/>
        <v>0</v>
      </c>
      <c r="W51">
        <f t="shared" si="31"/>
        <v>0</v>
      </c>
      <c r="X51">
        <f t="shared" si="32"/>
        <v>0</v>
      </c>
      <c r="Y51">
        <f t="shared" si="33"/>
        <v>0</v>
      </c>
      <c r="AA51">
        <v>67643165</v>
      </c>
      <c r="AB51" t="e">
        <f t="shared" si="34"/>
        <v>#REF!</v>
      </c>
      <c r="AC51" t="e">
        <f t="shared" si="35"/>
        <v>#REF!</v>
      </c>
      <c r="AD51">
        <f t="shared" si="36"/>
        <v>0</v>
      </c>
      <c r="AE51">
        <f t="shared" si="52"/>
        <v>0</v>
      </c>
      <c r="AF51">
        <f t="shared" si="54"/>
        <v>0</v>
      </c>
      <c r="AG51">
        <f t="shared" si="37"/>
        <v>0</v>
      </c>
      <c r="AH51">
        <f t="shared" si="55"/>
        <v>0</v>
      </c>
      <c r="AI51">
        <f t="shared" si="53"/>
        <v>0</v>
      </c>
      <c r="AJ51">
        <f t="shared" si="38"/>
        <v>0</v>
      </c>
      <c r="AK51">
        <v>175.57</v>
      </c>
      <c r="AL51" s="67" t="e">
        <f>'1.Лок.смета.и.Акт'!#REF!</f>
        <v>#REF!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1</v>
      </c>
      <c r="AW51">
        <v>1</v>
      </c>
      <c r="AZ51">
        <v>1</v>
      </c>
      <c r="BA51">
        <v>1</v>
      </c>
      <c r="BB51">
        <v>1</v>
      </c>
      <c r="BC51" t="e">
        <f>'1.Лок.смета.и.Акт'!#REF!</f>
        <v>#REF!</v>
      </c>
      <c r="BD51" t="s">
        <v>6</v>
      </c>
      <c r="BE51" t="s">
        <v>6</v>
      </c>
      <c r="BF51" t="s">
        <v>6</v>
      </c>
      <c r="BG51" t="s">
        <v>6</v>
      </c>
      <c r="BH51">
        <v>3</v>
      </c>
      <c r="BI51">
        <v>1</v>
      </c>
      <c r="BJ51" t="s">
        <v>117</v>
      </c>
      <c r="BM51">
        <v>500001</v>
      </c>
      <c r="BN51">
        <v>0</v>
      </c>
      <c r="BO51" t="s">
        <v>6</v>
      </c>
      <c r="BP51">
        <v>0</v>
      </c>
      <c r="BQ51">
        <v>8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6</v>
      </c>
      <c r="BZ51">
        <v>0</v>
      </c>
      <c r="CA51">
        <v>0</v>
      </c>
      <c r="CB51" t="s">
        <v>6</v>
      </c>
      <c r="CE51">
        <v>0</v>
      </c>
      <c r="CF51">
        <v>0</v>
      </c>
      <c r="CG51">
        <v>0</v>
      </c>
      <c r="CM51">
        <v>0</v>
      </c>
      <c r="CN51" t="s">
        <v>6</v>
      </c>
      <c r="CO51">
        <v>0</v>
      </c>
      <c r="CP51" t="e">
        <f t="shared" si="39"/>
        <v>#REF!</v>
      </c>
      <c r="CQ51" t="e">
        <f t="shared" si="58"/>
        <v>#REF!</v>
      </c>
      <c r="CR51">
        <f t="shared" si="59"/>
        <v>0</v>
      </c>
      <c r="CS51">
        <f t="shared" si="42"/>
        <v>0</v>
      </c>
      <c r="CT51">
        <f t="shared" si="43"/>
        <v>0</v>
      </c>
      <c r="CU51">
        <f t="shared" si="44"/>
        <v>0</v>
      </c>
      <c r="CV51">
        <f t="shared" si="45"/>
        <v>0</v>
      </c>
      <c r="CW51">
        <f t="shared" si="46"/>
        <v>0</v>
      </c>
      <c r="CX51">
        <f t="shared" si="47"/>
        <v>0</v>
      </c>
      <c r="CY51">
        <f>0</f>
        <v>0</v>
      </c>
      <c r="CZ51">
        <f>0</f>
        <v>0</v>
      </c>
      <c r="DC51" t="s">
        <v>6</v>
      </c>
      <c r="DD51" t="s">
        <v>6</v>
      </c>
      <c r="DE51" t="s">
        <v>6</v>
      </c>
      <c r="DF51" t="s">
        <v>6</v>
      </c>
      <c r="DG51" t="s">
        <v>6</v>
      </c>
      <c r="DH51" t="s">
        <v>6</v>
      </c>
      <c r="DI51" t="s">
        <v>6</v>
      </c>
      <c r="DJ51" t="s">
        <v>6</v>
      </c>
      <c r="DK51" t="s">
        <v>6</v>
      </c>
      <c r="DL51" t="s">
        <v>6</v>
      </c>
      <c r="DM51" t="s">
        <v>6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99</v>
      </c>
      <c r="DW51" t="str">
        <f>'2.Лок.смета.и.Акт в ЕР'!D158</f>
        <v>ШТ</v>
      </c>
      <c r="DX51">
        <v>1</v>
      </c>
      <c r="DZ51" t="s">
        <v>6</v>
      </c>
      <c r="EA51" t="s">
        <v>6</v>
      </c>
      <c r="EB51" t="s">
        <v>6</v>
      </c>
      <c r="EC51" t="s">
        <v>6</v>
      </c>
      <c r="EE51">
        <v>59670228</v>
      </c>
      <c r="EF51">
        <v>8</v>
      </c>
      <c r="EG51" t="s">
        <v>35</v>
      </c>
      <c r="EH51">
        <v>0</v>
      </c>
      <c r="EI51" t="s">
        <v>6</v>
      </c>
      <c r="EJ51">
        <v>1</v>
      </c>
      <c r="EK51">
        <v>500001</v>
      </c>
      <c r="EL51" t="s">
        <v>36</v>
      </c>
      <c r="EM51" t="s">
        <v>37</v>
      </c>
      <c r="EO51" t="s">
        <v>6</v>
      </c>
      <c r="EQ51">
        <v>0</v>
      </c>
      <c r="ER51">
        <v>175.57</v>
      </c>
      <c r="ES51" s="67" t="e">
        <f>'1.Лок.смета.и.Акт'!#REF!</f>
        <v>#REF!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16"/>
        <v>0</v>
      </c>
      <c r="FS51">
        <v>0</v>
      </c>
      <c r="FX51">
        <v>0</v>
      </c>
      <c r="FY51">
        <v>0</v>
      </c>
      <c r="GA51" t="s">
        <v>6</v>
      </c>
      <c r="GD51">
        <v>1</v>
      </c>
      <c r="GF51">
        <v>520743523</v>
      </c>
      <c r="GG51">
        <v>2</v>
      </c>
      <c r="GH51">
        <v>1</v>
      </c>
      <c r="GI51">
        <v>4</v>
      </c>
      <c r="GJ51">
        <v>0</v>
      </c>
      <c r="GK51">
        <v>0</v>
      </c>
      <c r="GL51">
        <f t="shared" si="17"/>
        <v>0</v>
      </c>
      <c r="GM51" t="e">
        <f t="shared" si="48"/>
        <v>#REF!</v>
      </c>
      <c r="GN51" t="e">
        <f t="shared" si="18"/>
        <v>#REF!</v>
      </c>
      <c r="GO51">
        <f t="shared" si="19"/>
        <v>0</v>
      </c>
      <c r="GP51">
        <f t="shared" si="20"/>
        <v>0</v>
      </c>
      <c r="GR51">
        <v>0</v>
      </c>
      <c r="GS51">
        <v>3</v>
      </c>
      <c r="GT51">
        <v>0</v>
      </c>
      <c r="GU51" t="s">
        <v>6</v>
      </c>
      <c r="GV51">
        <f t="shared" si="49"/>
        <v>0</v>
      </c>
      <c r="GW51">
        <v>1</v>
      </c>
      <c r="GX51">
        <f t="shared" si="50"/>
        <v>0</v>
      </c>
      <c r="HA51">
        <v>0</v>
      </c>
      <c r="HB51">
        <v>0</v>
      </c>
      <c r="HC51">
        <f t="shared" si="51"/>
        <v>0</v>
      </c>
      <c r="HE51" t="s">
        <v>6</v>
      </c>
      <c r="HF51" t="s">
        <v>6</v>
      </c>
      <c r="HM51" t="s">
        <v>6</v>
      </c>
      <c r="HN51" t="s">
        <v>6</v>
      </c>
      <c r="HO51" t="s">
        <v>6</v>
      </c>
      <c r="HP51" t="s">
        <v>6</v>
      </c>
      <c r="HQ51" t="s">
        <v>6</v>
      </c>
      <c r="IF51">
        <v>-1</v>
      </c>
      <c r="IK51">
        <v>0</v>
      </c>
    </row>
    <row r="52" spans="1:247" x14ac:dyDescent="0.2">
      <c r="A52">
        <v>18</v>
      </c>
      <c r="B52">
        <v>1</v>
      </c>
      <c r="C52">
        <v>67</v>
      </c>
      <c r="E52" t="s">
        <v>154</v>
      </c>
      <c r="F52" t="str">
        <f>'2.Лок.смета.и.Акт в ЕР'!B159</f>
        <v>05.1.01.09-0031</v>
      </c>
      <c r="G52" t="s">
        <v>156</v>
      </c>
      <c r="H52" t="s">
        <v>33</v>
      </c>
      <c r="I52">
        <f>I47*J52</f>
        <v>0.154</v>
      </c>
      <c r="J52" s="211">
        <f>'6.Ведомость_списания'!F70</f>
        <v>0.45294117647058818</v>
      </c>
      <c r="K52">
        <v>0.45294119999999999</v>
      </c>
      <c r="O52" t="e">
        <f t="shared" si="23"/>
        <v>#REF!</v>
      </c>
      <c r="P52" t="e">
        <f t="shared" si="24"/>
        <v>#REF!</v>
      </c>
      <c r="Q52">
        <f t="shared" si="25"/>
        <v>0</v>
      </c>
      <c r="R52">
        <f t="shared" si="26"/>
        <v>0</v>
      </c>
      <c r="S52">
        <f t="shared" si="27"/>
        <v>0</v>
      </c>
      <c r="T52">
        <f t="shared" si="28"/>
        <v>0</v>
      </c>
      <c r="U52">
        <f t="shared" si="29"/>
        <v>0</v>
      </c>
      <c r="V52">
        <f t="shared" si="30"/>
        <v>0</v>
      </c>
      <c r="W52">
        <f t="shared" si="31"/>
        <v>0</v>
      </c>
      <c r="X52">
        <f t="shared" si="32"/>
        <v>0</v>
      </c>
      <c r="Y52">
        <f t="shared" si="33"/>
        <v>0</v>
      </c>
      <c r="AA52">
        <v>67643165</v>
      </c>
      <c r="AB52" t="e">
        <f t="shared" si="34"/>
        <v>#REF!</v>
      </c>
      <c r="AC52" t="e">
        <f t="shared" si="35"/>
        <v>#REF!</v>
      </c>
      <c r="AD52">
        <f t="shared" si="36"/>
        <v>0</v>
      </c>
      <c r="AE52">
        <f t="shared" si="52"/>
        <v>0</v>
      </c>
      <c r="AF52">
        <f t="shared" si="54"/>
        <v>0</v>
      </c>
      <c r="AG52">
        <f t="shared" si="37"/>
        <v>0</v>
      </c>
      <c r="AH52">
        <f t="shared" si="55"/>
        <v>0</v>
      </c>
      <c r="AI52">
        <f t="shared" si="53"/>
        <v>0</v>
      </c>
      <c r="AJ52">
        <f t="shared" si="38"/>
        <v>0</v>
      </c>
      <c r="AK52">
        <v>1841.02</v>
      </c>
      <c r="AL52" s="67" t="e">
        <f>'1.Лок.смета.и.Акт'!#REF!</f>
        <v>#REF!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1</v>
      </c>
      <c r="AW52">
        <v>1</v>
      </c>
      <c r="AZ52">
        <v>1</v>
      </c>
      <c r="BA52">
        <v>1</v>
      </c>
      <c r="BB52">
        <v>1</v>
      </c>
      <c r="BC52" t="e">
        <f>'1.Лок.смета.и.Акт'!#REF!</f>
        <v>#REF!</v>
      </c>
      <c r="BD52" t="s">
        <v>6</v>
      </c>
      <c r="BE52" t="s">
        <v>6</v>
      </c>
      <c r="BF52" t="s">
        <v>6</v>
      </c>
      <c r="BG52" t="s">
        <v>6</v>
      </c>
      <c r="BH52">
        <v>3</v>
      </c>
      <c r="BI52">
        <v>1</v>
      </c>
      <c r="BJ52" t="s">
        <v>157</v>
      </c>
      <c r="BM52">
        <v>500001</v>
      </c>
      <c r="BN52">
        <v>0</v>
      </c>
      <c r="BO52" t="s">
        <v>6</v>
      </c>
      <c r="BP52">
        <v>0</v>
      </c>
      <c r="BQ52">
        <v>8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6</v>
      </c>
      <c r="BZ52">
        <v>0</v>
      </c>
      <c r="CA52">
        <v>0</v>
      </c>
      <c r="CB52" t="s">
        <v>6</v>
      </c>
      <c r="CE52">
        <v>0</v>
      </c>
      <c r="CF52">
        <v>0</v>
      </c>
      <c r="CG52">
        <v>0</v>
      </c>
      <c r="CM52">
        <v>0</v>
      </c>
      <c r="CN52" t="s">
        <v>6</v>
      </c>
      <c r="CO52">
        <v>0</v>
      </c>
      <c r="CP52" t="e">
        <f t="shared" si="39"/>
        <v>#REF!</v>
      </c>
      <c r="CQ52" t="e">
        <f t="shared" si="58"/>
        <v>#REF!</v>
      </c>
      <c r="CR52">
        <f t="shared" si="59"/>
        <v>0</v>
      </c>
      <c r="CS52">
        <f t="shared" si="42"/>
        <v>0</v>
      </c>
      <c r="CT52">
        <f t="shared" si="43"/>
        <v>0</v>
      </c>
      <c r="CU52">
        <f t="shared" si="44"/>
        <v>0</v>
      </c>
      <c r="CV52">
        <f t="shared" si="45"/>
        <v>0</v>
      </c>
      <c r="CW52">
        <f t="shared" si="46"/>
        <v>0</v>
      </c>
      <c r="CX52">
        <f t="shared" si="47"/>
        <v>0</v>
      </c>
      <c r="CY52">
        <f>0</f>
        <v>0</v>
      </c>
      <c r="CZ52">
        <f>0</f>
        <v>0</v>
      </c>
      <c r="DC52" t="s">
        <v>6</v>
      </c>
      <c r="DD52" t="s">
        <v>6</v>
      </c>
      <c r="DE52" t="s">
        <v>6</v>
      </c>
      <c r="DF52" t="s">
        <v>6</v>
      </c>
      <c r="DG52" t="s">
        <v>6</v>
      </c>
      <c r="DH52" t="s">
        <v>6</v>
      </c>
      <c r="DI52" t="s">
        <v>6</v>
      </c>
      <c r="DJ52" t="s">
        <v>6</v>
      </c>
      <c r="DK52" t="s">
        <v>6</v>
      </c>
      <c r="DL52" t="s">
        <v>6</v>
      </c>
      <c r="DM52" t="s">
        <v>6</v>
      </c>
      <c r="DN52">
        <v>0</v>
      </c>
      <c r="DO52">
        <v>0</v>
      </c>
      <c r="DP52">
        <v>1</v>
      </c>
      <c r="DQ52">
        <v>1</v>
      </c>
      <c r="DU52">
        <v>1007</v>
      </c>
      <c r="DV52" t="s">
        <v>33</v>
      </c>
      <c r="DW52" t="str">
        <f>'2.Лок.смета.и.Акт в ЕР'!D159</f>
        <v>м3</v>
      </c>
      <c r="DX52">
        <v>1</v>
      </c>
      <c r="DZ52" t="s">
        <v>6</v>
      </c>
      <c r="EA52" t="s">
        <v>6</v>
      </c>
      <c r="EB52" t="s">
        <v>6</v>
      </c>
      <c r="EC52" t="s">
        <v>6</v>
      </c>
      <c r="EE52">
        <v>59670228</v>
      </c>
      <c r="EF52">
        <v>8</v>
      </c>
      <c r="EG52" t="s">
        <v>35</v>
      </c>
      <c r="EH52">
        <v>0</v>
      </c>
      <c r="EI52" t="s">
        <v>6</v>
      </c>
      <c r="EJ52">
        <v>1</v>
      </c>
      <c r="EK52">
        <v>500001</v>
      </c>
      <c r="EL52" t="s">
        <v>36</v>
      </c>
      <c r="EM52" t="s">
        <v>37</v>
      </c>
      <c r="EO52" t="s">
        <v>6</v>
      </c>
      <c r="EQ52">
        <v>0</v>
      </c>
      <c r="ER52">
        <v>1841.02</v>
      </c>
      <c r="ES52" s="67" t="e">
        <f>'1.Лок.смета.и.Акт'!#REF!</f>
        <v>#REF!</v>
      </c>
      <c r="ET52">
        <v>0</v>
      </c>
      <c r="EU52">
        <v>0</v>
      </c>
      <c r="EV52">
        <v>0</v>
      </c>
      <c r="EW52">
        <v>0</v>
      </c>
      <c r="EX52">
        <v>0</v>
      </c>
      <c r="FQ52">
        <v>0</v>
      </c>
      <c r="FR52">
        <f t="shared" si="16"/>
        <v>0</v>
      </c>
      <c r="FS52">
        <v>0</v>
      </c>
      <c r="FX52">
        <v>0</v>
      </c>
      <c r="FY52">
        <v>0</v>
      </c>
      <c r="GA52" t="s">
        <v>6</v>
      </c>
      <c r="GD52">
        <v>1</v>
      </c>
      <c r="GF52">
        <v>379030909</v>
      </c>
      <c r="GG52">
        <v>2</v>
      </c>
      <c r="GH52">
        <v>1</v>
      </c>
      <c r="GI52">
        <v>4</v>
      </c>
      <c r="GJ52">
        <v>0</v>
      </c>
      <c r="GK52">
        <v>0</v>
      </c>
      <c r="GL52">
        <f t="shared" si="17"/>
        <v>0</v>
      </c>
      <c r="GM52" t="e">
        <f t="shared" si="48"/>
        <v>#REF!</v>
      </c>
      <c r="GN52" t="e">
        <f t="shared" si="18"/>
        <v>#REF!</v>
      </c>
      <c r="GO52">
        <f t="shared" si="19"/>
        <v>0</v>
      </c>
      <c r="GP52">
        <f t="shared" si="20"/>
        <v>0</v>
      </c>
      <c r="GR52">
        <v>0</v>
      </c>
      <c r="GS52">
        <v>3</v>
      </c>
      <c r="GT52">
        <v>0</v>
      </c>
      <c r="GU52" t="s">
        <v>6</v>
      </c>
      <c r="GV52">
        <f t="shared" si="49"/>
        <v>0</v>
      </c>
      <c r="GW52">
        <v>1</v>
      </c>
      <c r="GX52">
        <f t="shared" si="50"/>
        <v>0</v>
      </c>
      <c r="HA52">
        <v>0</v>
      </c>
      <c r="HB52">
        <v>0</v>
      </c>
      <c r="HC52">
        <f t="shared" si="51"/>
        <v>0</v>
      </c>
      <c r="HE52" t="s">
        <v>6</v>
      </c>
      <c r="HF52" t="s">
        <v>6</v>
      </c>
      <c r="HM52" t="s">
        <v>6</v>
      </c>
      <c r="HN52" t="s">
        <v>6</v>
      </c>
      <c r="HO52" t="s">
        <v>6</v>
      </c>
      <c r="HP52" t="s">
        <v>6</v>
      </c>
      <c r="HQ52" t="s">
        <v>6</v>
      </c>
      <c r="IF52">
        <v>-1</v>
      </c>
      <c r="IK52">
        <v>0</v>
      </c>
    </row>
    <row r="53" spans="1:247" x14ac:dyDescent="0.2">
      <c r="A53">
        <v>18</v>
      </c>
      <c r="B53">
        <v>1</v>
      </c>
      <c r="C53">
        <v>72</v>
      </c>
      <c r="E53" t="s">
        <v>158</v>
      </c>
      <c r="F53" t="str">
        <f>'2.Лок.смета.и.Акт в ЕР'!B160</f>
        <v>07.2.05.01-0032</v>
      </c>
      <c r="G53" t="s">
        <v>128</v>
      </c>
      <c r="H53" t="s">
        <v>129</v>
      </c>
      <c r="I53">
        <f>I47*J53</f>
        <v>1.6199999999999999E-2</v>
      </c>
      <c r="J53" s="211">
        <f>'6.Ведомость_списания'!F71</f>
        <v>4.7647058823529403E-2</v>
      </c>
      <c r="K53">
        <v>4.7647099999999998E-2</v>
      </c>
      <c r="O53" t="e">
        <f t="shared" si="23"/>
        <v>#REF!</v>
      </c>
      <c r="P53" t="e">
        <f t="shared" si="24"/>
        <v>#REF!</v>
      </c>
      <c r="Q53">
        <f t="shared" si="25"/>
        <v>0</v>
      </c>
      <c r="R53">
        <f t="shared" si="26"/>
        <v>0</v>
      </c>
      <c r="S53">
        <f t="shared" si="27"/>
        <v>0</v>
      </c>
      <c r="T53">
        <f t="shared" si="28"/>
        <v>0</v>
      </c>
      <c r="U53">
        <f t="shared" si="29"/>
        <v>0</v>
      </c>
      <c r="V53">
        <f t="shared" si="30"/>
        <v>0</v>
      </c>
      <c r="W53">
        <f t="shared" si="31"/>
        <v>0</v>
      </c>
      <c r="X53">
        <f t="shared" si="32"/>
        <v>0</v>
      </c>
      <c r="Y53">
        <f t="shared" si="33"/>
        <v>0</v>
      </c>
      <c r="AA53">
        <v>67643165</v>
      </c>
      <c r="AB53" t="e">
        <f t="shared" si="34"/>
        <v>#REF!</v>
      </c>
      <c r="AC53" t="e">
        <f t="shared" si="35"/>
        <v>#REF!</v>
      </c>
      <c r="AD53">
        <f t="shared" si="36"/>
        <v>0</v>
      </c>
      <c r="AE53">
        <f t="shared" si="52"/>
        <v>0</v>
      </c>
      <c r="AF53">
        <f t="shared" si="54"/>
        <v>0</v>
      </c>
      <c r="AG53">
        <f t="shared" si="37"/>
        <v>0</v>
      </c>
      <c r="AH53">
        <f t="shared" si="55"/>
        <v>0</v>
      </c>
      <c r="AI53">
        <f t="shared" si="53"/>
        <v>0</v>
      </c>
      <c r="AJ53">
        <f t="shared" si="38"/>
        <v>0</v>
      </c>
      <c r="AK53">
        <v>7571</v>
      </c>
      <c r="AL53" s="67" t="e">
        <f>'1.Лок.смета.и.Акт'!#REF!</f>
        <v>#REF!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</v>
      </c>
      <c r="AZ53">
        <v>1</v>
      </c>
      <c r="BA53">
        <v>1</v>
      </c>
      <c r="BB53">
        <v>1</v>
      </c>
      <c r="BC53" t="e">
        <f>'1.Лок.смета.и.Акт'!#REF!</f>
        <v>#REF!</v>
      </c>
      <c r="BD53" t="s">
        <v>6</v>
      </c>
      <c r="BE53" t="s">
        <v>6</v>
      </c>
      <c r="BF53" t="s">
        <v>6</v>
      </c>
      <c r="BG53" t="s">
        <v>6</v>
      </c>
      <c r="BH53">
        <v>3</v>
      </c>
      <c r="BI53">
        <v>1</v>
      </c>
      <c r="BJ53" t="s">
        <v>130</v>
      </c>
      <c r="BM53">
        <v>500001</v>
      </c>
      <c r="BN53">
        <v>0</v>
      </c>
      <c r="BO53" t="s">
        <v>6</v>
      </c>
      <c r="BP53">
        <v>0</v>
      </c>
      <c r="BQ53">
        <v>8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6</v>
      </c>
      <c r="BZ53">
        <v>0</v>
      </c>
      <c r="CA53">
        <v>0</v>
      </c>
      <c r="CB53" t="s">
        <v>6</v>
      </c>
      <c r="CE53">
        <v>0</v>
      </c>
      <c r="CF53">
        <v>0</v>
      </c>
      <c r="CG53">
        <v>0</v>
      </c>
      <c r="CM53">
        <v>0</v>
      </c>
      <c r="CN53" t="s">
        <v>6</v>
      </c>
      <c r="CO53">
        <v>0</v>
      </c>
      <c r="CP53" t="e">
        <f t="shared" si="39"/>
        <v>#REF!</v>
      </c>
      <c r="CQ53" t="e">
        <f t="shared" si="58"/>
        <v>#REF!</v>
      </c>
      <c r="CR53">
        <f t="shared" si="59"/>
        <v>0</v>
      </c>
      <c r="CS53">
        <f t="shared" si="42"/>
        <v>0</v>
      </c>
      <c r="CT53">
        <f t="shared" si="43"/>
        <v>0</v>
      </c>
      <c r="CU53">
        <f t="shared" si="44"/>
        <v>0</v>
      </c>
      <c r="CV53">
        <f t="shared" si="45"/>
        <v>0</v>
      </c>
      <c r="CW53">
        <f t="shared" si="46"/>
        <v>0</v>
      </c>
      <c r="CX53">
        <f t="shared" si="47"/>
        <v>0</v>
      </c>
      <c r="CY53">
        <f>0</f>
        <v>0</v>
      </c>
      <c r="CZ53">
        <f>0</f>
        <v>0</v>
      </c>
      <c r="DC53" t="s">
        <v>6</v>
      </c>
      <c r="DD53" t="s">
        <v>6</v>
      </c>
      <c r="DE53" t="s">
        <v>6</v>
      </c>
      <c r="DF53" t="s">
        <v>6</v>
      </c>
      <c r="DG53" t="s">
        <v>6</v>
      </c>
      <c r="DH53" t="s">
        <v>6</v>
      </c>
      <c r="DI53" t="s">
        <v>6</v>
      </c>
      <c r="DJ53" t="s">
        <v>6</v>
      </c>
      <c r="DK53" t="s">
        <v>6</v>
      </c>
      <c r="DL53" t="s">
        <v>6</v>
      </c>
      <c r="DM53" t="s">
        <v>6</v>
      </c>
      <c r="DN53">
        <v>0</v>
      </c>
      <c r="DO53">
        <v>0</v>
      </c>
      <c r="DP53">
        <v>1</v>
      </c>
      <c r="DQ53">
        <v>1</v>
      </c>
      <c r="DU53">
        <v>1009</v>
      </c>
      <c r="DV53" t="s">
        <v>129</v>
      </c>
      <c r="DW53" t="str">
        <f>'2.Лок.смета.и.Акт в ЕР'!D160</f>
        <v>т</v>
      </c>
      <c r="DX53">
        <v>1000</v>
      </c>
      <c r="DZ53" t="s">
        <v>6</v>
      </c>
      <c r="EA53" t="s">
        <v>6</v>
      </c>
      <c r="EB53" t="s">
        <v>6</v>
      </c>
      <c r="EC53" t="s">
        <v>6</v>
      </c>
      <c r="EE53">
        <v>59670228</v>
      </c>
      <c r="EF53">
        <v>8</v>
      </c>
      <c r="EG53" t="s">
        <v>35</v>
      </c>
      <c r="EH53">
        <v>0</v>
      </c>
      <c r="EI53" t="s">
        <v>6</v>
      </c>
      <c r="EJ53">
        <v>1</v>
      </c>
      <c r="EK53">
        <v>500001</v>
      </c>
      <c r="EL53" t="s">
        <v>36</v>
      </c>
      <c r="EM53" t="s">
        <v>37</v>
      </c>
      <c r="EO53" t="s">
        <v>6</v>
      </c>
      <c r="EQ53">
        <v>0</v>
      </c>
      <c r="ER53">
        <v>7571</v>
      </c>
      <c r="ES53" s="67" t="e">
        <f>'1.Лок.смета.и.Акт'!#REF!</f>
        <v>#REF!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f t="shared" si="16"/>
        <v>0</v>
      </c>
      <c r="FS53">
        <v>0</v>
      </c>
      <c r="FX53">
        <v>0</v>
      </c>
      <c r="FY53">
        <v>0</v>
      </c>
      <c r="GA53" t="s">
        <v>6</v>
      </c>
      <c r="GD53">
        <v>1</v>
      </c>
      <c r="GF53">
        <v>1853686766</v>
      </c>
      <c r="GG53">
        <v>2</v>
      </c>
      <c r="GH53">
        <v>1</v>
      </c>
      <c r="GI53">
        <v>4</v>
      </c>
      <c r="GJ53">
        <v>0</v>
      </c>
      <c r="GK53">
        <v>0</v>
      </c>
      <c r="GL53">
        <f t="shared" si="17"/>
        <v>0</v>
      </c>
      <c r="GM53" t="e">
        <f t="shared" si="48"/>
        <v>#REF!</v>
      </c>
      <c r="GN53" t="e">
        <f t="shared" si="18"/>
        <v>#REF!</v>
      </c>
      <c r="GO53">
        <f t="shared" si="19"/>
        <v>0</v>
      </c>
      <c r="GP53">
        <f t="shared" si="20"/>
        <v>0</v>
      </c>
      <c r="GR53">
        <v>0</v>
      </c>
      <c r="GS53">
        <v>3</v>
      </c>
      <c r="GT53">
        <v>0</v>
      </c>
      <c r="GU53" t="s">
        <v>6</v>
      </c>
      <c r="GV53">
        <f t="shared" si="49"/>
        <v>0</v>
      </c>
      <c r="GW53">
        <v>1</v>
      </c>
      <c r="GX53">
        <f t="shared" si="50"/>
        <v>0</v>
      </c>
      <c r="HA53">
        <v>0</v>
      </c>
      <c r="HB53">
        <v>0</v>
      </c>
      <c r="HC53">
        <f t="shared" si="51"/>
        <v>0</v>
      </c>
      <c r="HE53" t="s">
        <v>6</v>
      </c>
      <c r="HF53" t="s">
        <v>6</v>
      </c>
      <c r="HM53" t="s">
        <v>6</v>
      </c>
      <c r="HN53" t="s">
        <v>6</v>
      </c>
      <c r="HO53" t="s">
        <v>6</v>
      </c>
      <c r="HP53" t="s">
        <v>6</v>
      </c>
      <c r="HQ53" t="s">
        <v>6</v>
      </c>
      <c r="IF53">
        <v>-1</v>
      </c>
      <c r="IK53">
        <v>0</v>
      </c>
    </row>
    <row r="54" spans="1:247" x14ac:dyDescent="0.2">
      <c r="A54">
        <v>18</v>
      </c>
      <c r="B54">
        <v>1</v>
      </c>
      <c r="C54">
        <v>73</v>
      </c>
      <c r="E54" t="s">
        <v>159</v>
      </c>
      <c r="F54" t="str">
        <f>'2.Лок.смета.и.Акт в ЕР'!B161</f>
        <v>08.1.02.06-0033</v>
      </c>
      <c r="G54" t="s">
        <v>133</v>
      </c>
      <c r="H54" t="s">
        <v>99</v>
      </c>
      <c r="I54">
        <f>I47*J54</f>
        <v>1</v>
      </c>
      <c r="J54" s="211">
        <f>'6.Ведомость_списания'!F72</f>
        <v>2.9411764705882351</v>
      </c>
      <c r="K54">
        <v>2.9411765000000001</v>
      </c>
      <c r="O54" t="e">
        <f t="shared" si="23"/>
        <v>#REF!</v>
      </c>
      <c r="P54" t="e">
        <f t="shared" si="24"/>
        <v>#REF!</v>
      </c>
      <c r="Q54">
        <f t="shared" si="25"/>
        <v>0</v>
      </c>
      <c r="R54">
        <f t="shared" si="26"/>
        <v>0</v>
      </c>
      <c r="S54">
        <f t="shared" si="27"/>
        <v>0</v>
      </c>
      <c r="T54">
        <f t="shared" si="28"/>
        <v>0</v>
      </c>
      <c r="U54">
        <f t="shared" si="29"/>
        <v>0</v>
      </c>
      <c r="V54">
        <f t="shared" si="30"/>
        <v>0</v>
      </c>
      <c r="W54">
        <f t="shared" si="31"/>
        <v>0</v>
      </c>
      <c r="X54">
        <f t="shared" si="32"/>
        <v>0</v>
      </c>
      <c r="Y54">
        <f t="shared" si="33"/>
        <v>0</v>
      </c>
      <c r="AA54">
        <v>67643165</v>
      </c>
      <c r="AB54" t="e">
        <f t="shared" si="34"/>
        <v>#REF!</v>
      </c>
      <c r="AC54" t="e">
        <f t="shared" si="35"/>
        <v>#REF!</v>
      </c>
      <c r="AD54">
        <f t="shared" si="36"/>
        <v>0</v>
      </c>
      <c r="AE54">
        <f t="shared" si="52"/>
        <v>0</v>
      </c>
      <c r="AF54">
        <f t="shared" si="54"/>
        <v>0</v>
      </c>
      <c r="AG54">
        <f t="shared" si="37"/>
        <v>0</v>
      </c>
      <c r="AH54">
        <f t="shared" si="55"/>
        <v>0</v>
      </c>
      <c r="AI54">
        <f t="shared" si="53"/>
        <v>0</v>
      </c>
      <c r="AJ54">
        <f t="shared" si="38"/>
        <v>0</v>
      </c>
      <c r="AK54">
        <v>11388.17</v>
      </c>
      <c r="AL54" s="67" t="e">
        <f>'1.Лок.смета.и.Акт'!#REF!</f>
        <v>#REF!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 t="e">
        <f>'1.Лок.смета.и.Акт'!#REF!</f>
        <v>#REF!</v>
      </c>
      <c r="BD54" t="s">
        <v>6</v>
      </c>
      <c r="BE54" t="s">
        <v>6</v>
      </c>
      <c r="BF54" t="s">
        <v>6</v>
      </c>
      <c r="BG54" t="s">
        <v>6</v>
      </c>
      <c r="BH54">
        <v>3</v>
      </c>
      <c r="BI54">
        <v>1</v>
      </c>
      <c r="BJ54" t="s">
        <v>134</v>
      </c>
      <c r="BM54">
        <v>500001</v>
      </c>
      <c r="BN54">
        <v>0</v>
      </c>
      <c r="BO54" t="s">
        <v>6</v>
      </c>
      <c r="BP54">
        <v>0</v>
      </c>
      <c r="BQ54">
        <v>8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6</v>
      </c>
      <c r="BZ54">
        <v>0</v>
      </c>
      <c r="CA54">
        <v>0</v>
      </c>
      <c r="CB54" t="s">
        <v>6</v>
      </c>
      <c r="CE54">
        <v>0</v>
      </c>
      <c r="CF54">
        <v>0</v>
      </c>
      <c r="CG54">
        <v>0</v>
      </c>
      <c r="CM54">
        <v>0</v>
      </c>
      <c r="CN54" t="s">
        <v>6</v>
      </c>
      <c r="CO54">
        <v>0</v>
      </c>
      <c r="CP54" t="e">
        <f t="shared" si="39"/>
        <v>#REF!</v>
      </c>
      <c r="CQ54" t="e">
        <f>AC54</f>
        <v>#REF!</v>
      </c>
      <c r="CR54">
        <f>(((ET54)-(EU54)*BS54)+AE54*BS54)</f>
        <v>0</v>
      </c>
      <c r="CS54">
        <f t="shared" si="42"/>
        <v>0</v>
      </c>
      <c r="CT54">
        <f t="shared" si="43"/>
        <v>0</v>
      </c>
      <c r="CU54">
        <f t="shared" si="44"/>
        <v>0</v>
      </c>
      <c r="CV54">
        <f t="shared" si="45"/>
        <v>0</v>
      </c>
      <c r="CW54">
        <f t="shared" si="46"/>
        <v>0</v>
      </c>
      <c r="CX54">
        <f t="shared" si="47"/>
        <v>0</v>
      </c>
      <c r="CY54">
        <f>0</f>
        <v>0</v>
      </c>
      <c r="CZ54">
        <f>0</f>
        <v>0</v>
      </c>
      <c r="DC54" t="s">
        <v>6</v>
      </c>
      <c r="DD54" t="s">
        <v>6</v>
      </c>
      <c r="DE54" t="s">
        <v>6</v>
      </c>
      <c r="DF54" t="s">
        <v>6</v>
      </c>
      <c r="DG54" t="s">
        <v>6</v>
      </c>
      <c r="DH54" t="s">
        <v>6</v>
      </c>
      <c r="DI54" t="s">
        <v>6</v>
      </c>
      <c r="DJ54" t="s">
        <v>6</v>
      </c>
      <c r="DK54" t="s">
        <v>6</v>
      </c>
      <c r="DL54" t="s">
        <v>6</v>
      </c>
      <c r="DM54" t="s">
        <v>6</v>
      </c>
      <c r="DN54">
        <v>0</v>
      </c>
      <c r="DO54">
        <v>0</v>
      </c>
      <c r="DP54">
        <v>1</v>
      </c>
      <c r="DQ54">
        <v>1</v>
      </c>
      <c r="DU54">
        <v>1013</v>
      </c>
      <c r="DV54" t="s">
        <v>99</v>
      </c>
      <c r="DW54" t="str">
        <f>'2.Лок.смета.и.Акт в ЕР'!D161</f>
        <v>ШТ</v>
      </c>
      <c r="DX54">
        <v>1</v>
      </c>
      <c r="DZ54" t="s">
        <v>6</v>
      </c>
      <c r="EA54" t="s">
        <v>6</v>
      </c>
      <c r="EB54" t="s">
        <v>6</v>
      </c>
      <c r="EC54" t="s">
        <v>6</v>
      </c>
      <c r="EE54">
        <v>59670228</v>
      </c>
      <c r="EF54">
        <v>8</v>
      </c>
      <c r="EG54" t="s">
        <v>35</v>
      </c>
      <c r="EH54">
        <v>0</v>
      </c>
      <c r="EI54" t="s">
        <v>6</v>
      </c>
      <c r="EJ54">
        <v>1</v>
      </c>
      <c r="EK54">
        <v>500001</v>
      </c>
      <c r="EL54" t="s">
        <v>36</v>
      </c>
      <c r="EM54" t="s">
        <v>37</v>
      </c>
      <c r="EO54" t="s">
        <v>6</v>
      </c>
      <c r="EQ54">
        <v>0</v>
      </c>
      <c r="ER54">
        <v>11388.17</v>
      </c>
      <c r="ES54" s="67" t="e">
        <f>'1.Лок.смета.и.Акт'!#REF!</f>
        <v>#REF!</v>
      </c>
      <c r="ET54">
        <v>0</v>
      </c>
      <c r="EU54">
        <v>0</v>
      </c>
      <c r="EV54">
        <v>0</v>
      </c>
      <c r="EW54">
        <v>0</v>
      </c>
      <c r="EX54">
        <v>0</v>
      </c>
      <c r="EZ54">
        <v>5</v>
      </c>
      <c r="FC54">
        <v>0</v>
      </c>
      <c r="FD54">
        <v>18</v>
      </c>
      <c r="FF54">
        <v>10829.17</v>
      </c>
      <c r="FQ54">
        <v>0</v>
      </c>
      <c r="FR54">
        <f t="shared" si="16"/>
        <v>0</v>
      </c>
      <c r="FS54">
        <v>0</v>
      </c>
      <c r="FX54">
        <v>0</v>
      </c>
      <c r="FY54">
        <v>0</v>
      </c>
      <c r="GA54" t="s">
        <v>135</v>
      </c>
      <c r="GD54">
        <v>1</v>
      </c>
      <c r="GF54">
        <v>252477108</v>
      </c>
      <c r="GG54">
        <v>2</v>
      </c>
      <c r="GH54">
        <v>3</v>
      </c>
      <c r="GI54">
        <v>4</v>
      </c>
      <c r="GJ54">
        <v>0</v>
      </c>
      <c r="GK54">
        <v>0</v>
      </c>
      <c r="GL54">
        <f t="shared" si="17"/>
        <v>0</v>
      </c>
      <c r="GM54" t="e">
        <f t="shared" si="48"/>
        <v>#REF!</v>
      </c>
      <c r="GN54" t="e">
        <f t="shared" si="18"/>
        <v>#REF!</v>
      </c>
      <c r="GO54">
        <f t="shared" si="19"/>
        <v>0</v>
      </c>
      <c r="GP54">
        <f t="shared" si="20"/>
        <v>0</v>
      </c>
      <c r="GR54">
        <v>1</v>
      </c>
      <c r="GS54">
        <v>1</v>
      </c>
      <c r="GT54">
        <v>0</v>
      </c>
      <c r="GU54" t="s">
        <v>6</v>
      </c>
      <c r="GV54">
        <f t="shared" si="49"/>
        <v>0</v>
      </c>
      <c r="GW54">
        <v>1</v>
      </c>
      <c r="GX54">
        <f t="shared" si="50"/>
        <v>0</v>
      </c>
      <c r="HA54">
        <v>0</v>
      </c>
      <c r="HB54">
        <v>0</v>
      </c>
      <c r="HC54">
        <f t="shared" si="51"/>
        <v>0</v>
      </c>
      <c r="HE54" t="s">
        <v>136</v>
      </c>
      <c r="HF54" t="s">
        <v>38</v>
      </c>
      <c r="HG54" t="e">
        <f>ROUND(AC54*I54,2)</f>
        <v>#REF!</v>
      </c>
      <c r="HM54" t="s">
        <v>6</v>
      </c>
      <c r="HN54" t="s">
        <v>6</v>
      </c>
      <c r="HO54" t="s">
        <v>6</v>
      </c>
      <c r="HP54" t="s">
        <v>6</v>
      </c>
      <c r="HQ54" t="s">
        <v>6</v>
      </c>
      <c r="IF54">
        <v>-1</v>
      </c>
      <c r="IK54">
        <v>0</v>
      </c>
    </row>
    <row r="55" spans="1:247" x14ac:dyDescent="0.2">
      <c r="A55">
        <v>18</v>
      </c>
      <c r="B55">
        <v>1</v>
      </c>
      <c r="C55">
        <v>62</v>
      </c>
      <c r="E55" t="s">
        <v>160</v>
      </c>
      <c r="F55" t="str">
        <f>'2.Лок.смета.и.Акт в ЕР'!B163</f>
        <v>04.1.02.05-0006</v>
      </c>
      <c r="G55" t="s">
        <v>103</v>
      </c>
      <c r="H55" t="s">
        <v>33</v>
      </c>
      <c r="I55">
        <f>I47*J55</f>
        <v>-1.7680000000000002</v>
      </c>
      <c r="J55">
        <v>-5.2</v>
      </c>
      <c r="K55">
        <v>-5.2</v>
      </c>
      <c r="O55" t="e">
        <f t="shared" si="23"/>
        <v>#REF!</v>
      </c>
      <c r="P55" t="e">
        <f t="shared" si="24"/>
        <v>#REF!</v>
      </c>
      <c r="Q55">
        <f t="shared" si="25"/>
        <v>0</v>
      </c>
      <c r="R55">
        <f t="shared" si="26"/>
        <v>0</v>
      </c>
      <c r="S55">
        <f t="shared" si="27"/>
        <v>0</v>
      </c>
      <c r="T55">
        <f t="shared" si="28"/>
        <v>0</v>
      </c>
      <c r="U55">
        <f t="shared" si="29"/>
        <v>0</v>
      </c>
      <c r="V55">
        <f t="shared" si="30"/>
        <v>0</v>
      </c>
      <c r="W55">
        <f t="shared" si="31"/>
        <v>0</v>
      </c>
      <c r="X55">
        <f t="shared" si="32"/>
        <v>0</v>
      </c>
      <c r="Y55">
        <f t="shared" si="33"/>
        <v>0</v>
      </c>
      <c r="AA55">
        <v>67643165</v>
      </c>
      <c r="AB55" t="e">
        <f t="shared" si="34"/>
        <v>#REF!</v>
      </c>
      <c r="AC55" t="e">
        <f t="shared" si="35"/>
        <v>#REF!</v>
      </c>
      <c r="AD55">
        <f t="shared" si="36"/>
        <v>0</v>
      </c>
      <c r="AE55">
        <f t="shared" si="52"/>
        <v>0</v>
      </c>
      <c r="AF55">
        <f t="shared" si="54"/>
        <v>0</v>
      </c>
      <c r="AG55">
        <f t="shared" si="37"/>
        <v>0</v>
      </c>
      <c r="AH55">
        <f t="shared" si="55"/>
        <v>0</v>
      </c>
      <c r="AI55">
        <f t="shared" si="53"/>
        <v>0</v>
      </c>
      <c r="AJ55">
        <f t="shared" si="38"/>
        <v>0</v>
      </c>
      <c r="AK55">
        <v>592.76</v>
      </c>
      <c r="AL55" s="67" t="e">
        <f>'1.Лок.смета.и.Акт'!#REF!</f>
        <v>#REF!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</v>
      </c>
      <c r="AW55">
        <v>1</v>
      </c>
      <c r="AZ55">
        <v>1</v>
      </c>
      <c r="BA55">
        <v>1</v>
      </c>
      <c r="BB55">
        <v>1</v>
      </c>
      <c r="BC55" t="e">
        <f>'1.Лок.смета.и.Акт'!#REF!</f>
        <v>#REF!</v>
      </c>
      <c r="BD55" t="s">
        <v>6</v>
      </c>
      <c r="BE55" t="s">
        <v>6</v>
      </c>
      <c r="BF55" t="s">
        <v>6</v>
      </c>
      <c r="BG55" t="s">
        <v>6</v>
      </c>
      <c r="BH55">
        <v>3</v>
      </c>
      <c r="BI55">
        <v>1</v>
      </c>
      <c r="BJ55" t="s">
        <v>104</v>
      </c>
      <c r="BM55">
        <v>500001</v>
      </c>
      <c r="BN55">
        <v>0</v>
      </c>
      <c r="BO55" t="s">
        <v>6</v>
      </c>
      <c r="BP55">
        <v>0</v>
      </c>
      <c r="BQ55">
        <v>8</v>
      </c>
      <c r="BR55">
        <v>1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6</v>
      </c>
      <c r="BZ55">
        <v>0</v>
      </c>
      <c r="CA55">
        <v>0</v>
      </c>
      <c r="CB55" t="s">
        <v>6</v>
      </c>
      <c r="CE55">
        <v>0</v>
      </c>
      <c r="CF55">
        <v>0</v>
      </c>
      <c r="CG55">
        <v>0</v>
      </c>
      <c r="CM55">
        <v>0</v>
      </c>
      <c r="CN55" t="s">
        <v>6</v>
      </c>
      <c r="CO55">
        <v>0</v>
      </c>
      <c r="CP55" t="e">
        <f t="shared" si="39"/>
        <v>#REF!</v>
      </c>
      <c r="CQ55" t="e">
        <f t="shared" ref="CQ55:CQ60" si="60">AC55*BC55</f>
        <v>#REF!</v>
      </c>
      <c r="CR55">
        <f t="shared" ref="CR55:CR60" si="61">(((ET55)*BB55-(EU55)*BS55)+AE55*BS55)</f>
        <v>0</v>
      </c>
      <c r="CS55">
        <f t="shared" si="42"/>
        <v>0</v>
      </c>
      <c r="CT55">
        <f t="shared" si="43"/>
        <v>0</v>
      </c>
      <c r="CU55">
        <f t="shared" si="44"/>
        <v>0</v>
      </c>
      <c r="CV55">
        <f t="shared" si="45"/>
        <v>0</v>
      </c>
      <c r="CW55">
        <f t="shared" si="46"/>
        <v>0</v>
      </c>
      <c r="CX55">
        <f t="shared" si="47"/>
        <v>0</v>
      </c>
      <c r="CY55">
        <f>0</f>
        <v>0</v>
      </c>
      <c r="CZ55">
        <f>0</f>
        <v>0</v>
      </c>
      <c r="DC55" t="s">
        <v>6</v>
      </c>
      <c r="DD55" t="s">
        <v>6</v>
      </c>
      <c r="DE55" t="s">
        <v>6</v>
      </c>
      <c r="DF55" t="s">
        <v>6</v>
      </c>
      <c r="DG55" t="s">
        <v>6</v>
      </c>
      <c r="DH55" t="s">
        <v>6</v>
      </c>
      <c r="DI55" t="s">
        <v>6</v>
      </c>
      <c r="DJ55" t="s">
        <v>6</v>
      </c>
      <c r="DK55" t="s">
        <v>6</v>
      </c>
      <c r="DL55" t="s">
        <v>6</v>
      </c>
      <c r="DM55" t="s">
        <v>6</v>
      </c>
      <c r="DN55">
        <v>0</v>
      </c>
      <c r="DO55">
        <v>0</v>
      </c>
      <c r="DP55">
        <v>1</v>
      </c>
      <c r="DQ55">
        <v>1</v>
      </c>
      <c r="DU55">
        <v>1007</v>
      </c>
      <c r="DV55" t="s">
        <v>33</v>
      </c>
      <c r="DW55" t="str">
        <f>'2.Лок.смета.и.Акт в ЕР'!D163</f>
        <v>м3</v>
      </c>
      <c r="DX55">
        <v>1</v>
      </c>
      <c r="DZ55" t="s">
        <v>6</v>
      </c>
      <c r="EA55" t="s">
        <v>6</v>
      </c>
      <c r="EB55" t="s">
        <v>6</v>
      </c>
      <c r="EC55" t="s">
        <v>6</v>
      </c>
      <c r="EE55">
        <v>59670228</v>
      </c>
      <c r="EF55">
        <v>8</v>
      </c>
      <c r="EG55" t="s">
        <v>35</v>
      </c>
      <c r="EH55">
        <v>0</v>
      </c>
      <c r="EI55" t="s">
        <v>6</v>
      </c>
      <c r="EJ55">
        <v>1</v>
      </c>
      <c r="EK55">
        <v>500001</v>
      </c>
      <c r="EL55" t="s">
        <v>36</v>
      </c>
      <c r="EM55" t="s">
        <v>37</v>
      </c>
      <c r="EO55" t="s">
        <v>6</v>
      </c>
      <c r="EQ55">
        <v>0</v>
      </c>
      <c r="ER55">
        <v>592.76</v>
      </c>
      <c r="ES55" s="67" t="e">
        <f>'1.Лок.смета.и.Акт'!#REF!</f>
        <v>#REF!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16"/>
        <v>0</v>
      </c>
      <c r="FS55">
        <v>0</v>
      </c>
      <c r="FX55">
        <v>0</v>
      </c>
      <c r="FY55">
        <v>0</v>
      </c>
      <c r="GA55" t="s">
        <v>6</v>
      </c>
      <c r="GD55">
        <v>1</v>
      </c>
      <c r="GF55">
        <v>2039656126</v>
      </c>
      <c r="GG55">
        <v>2</v>
      </c>
      <c r="GH55">
        <v>1</v>
      </c>
      <c r="GI55">
        <v>4</v>
      </c>
      <c r="GJ55">
        <v>0</v>
      </c>
      <c r="GK55">
        <v>0</v>
      </c>
      <c r="GL55">
        <f t="shared" si="17"/>
        <v>0</v>
      </c>
      <c r="GM55" t="e">
        <f t="shared" si="48"/>
        <v>#REF!</v>
      </c>
      <c r="GN55" t="e">
        <f t="shared" si="18"/>
        <v>#REF!</v>
      </c>
      <c r="GO55">
        <f t="shared" si="19"/>
        <v>0</v>
      </c>
      <c r="GP55">
        <f t="shared" si="20"/>
        <v>0</v>
      </c>
      <c r="GR55">
        <v>0</v>
      </c>
      <c r="GS55">
        <v>3</v>
      </c>
      <c r="GT55">
        <v>0</v>
      </c>
      <c r="GU55" t="s">
        <v>6</v>
      </c>
      <c r="GV55">
        <f t="shared" si="49"/>
        <v>0</v>
      </c>
      <c r="GW55">
        <v>1</v>
      </c>
      <c r="GX55">
        <f t="shared" si="50"/>
        <v>0</v>
      </c>
      <c r="HA55">
        <v>0</v>
      </c>
      <c r="HB55">
        <v>0</v>
      </c>
      <c r="HC55">
        <f t="shared" si="51"/>
        <v>0</v>
      </c>
      <c r="HE55" t="s">
        <v>6</v>
      </c>
      <c r="HF55" t="s">
        <v>6</v>
      </c>
      <c r="HM55" t="s">
        <v>6</v>
      </c>
      <c r="HN55" t="s">
        <v>6</v>
      </c>
      <c r="HO55" t="s">
        <v>6</v>
      </c>
      <c r="HP55" t="s">
        <v>6</v>
      </c>
      <c r="HQ55" t="s">
        <v>6</v>
      </c>
      <c r="IF55">
        <v>-1</v>
      </c>
      <c r="IK55">
        <v>0</v>
      </c>
    </row>
    <row r="56" spans="1:247" x14ac:dyDescent="0.2">
      <c r="A56">
        <v>18</v>
      </c>
      <c r="B56">
        <v>1</v>
      </c>
      <c r="C56">
        <v>63</v>
      </c>
      <c r="E56" t="s">
        <v>161</v>
      </c>
      <c r="F56" t="str">
        <f>'2.Лок.смета.и.Акт в ЕР'!B164</f>
        <v>04.1.02.05-0006</v>
      </c>
      <c r="G56" t="s">
        <v>103</v>
      </c>
      <c r="H56" t="s">
        <v>33</v>
      </c>
      <c r="I56">
        <f>I47*J56</f>
        <v>1.7679999999999998</v>
      </c>
      <c r="J56" s="211">
        <f>'6.Ведомость_списания'!F73</f>
        <v>5.1999999999999993</v>
      </c>
      <c r="K56">
        <v>5.2</v>
      </c>
      <c r="O56" t="e">
        <f t="shared" si="23"/>
        <v>#REF!</v>
      </c>
      <c r="P56" t="e">
        <f t="shared" si="24"/>
        <v>#REF!</v>
      </c>
      <c r="Q56">
        <f t="shared" si="25"/>
        <v>0</v>
      </c>
      <c r="R56">
        <f t="shared" si="26"/>
        <v>0</v>
      </c>
      <c r="S56">
        <f t="shared" si="27"/>
        <v>0</v>
      </c>
      <c r="T56">
        <f t="shared" si="28"/>
        <v>0</v>
      </c>
      <c r="U56">
        <f t="shared" si="29"/>
        <v>0</v>
      </c>
      <c r="V56">
        <f t="shared" si="30"/>
        <v>0</v>
      </c>
      <c r="W56">
        <f t="shared" si="31"/>
        <v>0</v>
      </c>
      <c r="X56">
        <f t="shared" si="32"/>
        <v>0</v>
      </c>
      <c r="Y56">
        <f t="shared" si="33"/>
        <v>0</v>
      </c>
      <c r="AA56">
        <v>67643165</v>
      </c>
      <c r="AB56" t="e">
        <f t="shared" si="34"/>
        <v>#REF!</v>
      </c>
      <c r="AC56" t="e">
        <f t="shared" si="35"/>
        <v>#REF!</v>
      </c>
      <c r="AD56">
        <f t="shared" si="36"/>
        <v>0</v>
      </c>
      <c r="AE56">
        <f t="shared" si="52"/>
        <v>0</v>
      </c>
      <c r="AF56">
        <f t="shared" si="54"/>
        <v>0</v>
      </c>
      <c r="AG56">
        <f t="shared" si="37"/>
        <v>0</v>
      </c>
      <c r="AH56">
        <f t="shared" si="55"/>
        <v>0</v>
      </c>
      <c r="AI56">
        <f t="shared" si="53"/>
        <v>0</v>
      </c>
      <c r="AJ56">
        <f t="shared" si="38"/>
        <v>0</v>
      </c>
      <c r="AK56">
        <v>592.76</v>
      </c>
      <c r="AL56" s="67" t="e">
        <f>'1.Лок.смета.и.Акт'!#REF!</f>
        <v>#REF!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1</v>
      </c>
      <c r="AZ56">
        <v>1</v>
      </c>
      <c r="BA56">
        <v>1</v>
      </c>
      <c r="BB56">
        <v>1</v>
      </c>
      <c r="BC56" t="e">
        <f>'1.Лок.смета.и.Акт'!#REF!</f>
        <v>#REF!</v>
      </c>
      <c r="BD56" t="s">
        <v>6</v>
      </c>
      <c r="BE56" t="s">
        <v>6</v>
      </c>
      <c r="BF56" t="s">
        <v>6</v>
      </c>
      <c r="BG56" t="s">
        <v>6</v>
      </c>
      <c r="BH56">
        <v>3</v>
      </c>
      <c r="BI56">
        <v>1</v>
      </c>
      <c r="BJ56" t="s">
        <v>104</v>
      </c>
      <c r="BM56">
        <v>500001</v>
      </c>
      <c r="BN56">
        <v>0</v>
      </c>
      <c r="BO56" t="s">
        <v>6</v>
      </c>
      <c r="BP56">
        <v>0</v>
      </c>
      <c r="BQ56">
        <v>8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6</v>
      </c>
      <c r="BZ56">
        <v>0</v>
      </c>
      <c r="CA56">
        <v>0</v>
      </c>
      <c r="CB56" t="s">
        <v>6</v>
      </c>
      <c r="CE56">
        <v>0</v>
      </c>
      <c r="CF56">
        <v>0</v>
      </c>
      <c r="CG56">
        <v>0</v>
      </c>
      <c r="CM56">
        <v>0</v>
      </c>
      <c r="CN56" t="s">
        <v>6</v>
      </c>
      <c r="CO56">
        <v>0</v>
      </c>
      <c r="CP56" t="e">
        <f t="shared" si="39"/>
        <v>#REF!</v>
      </c>
      <c r="CQ56" t="e">
        <f t="shared" si="60"/>
        <v>#REF!</v>
      </c>
      <c r="CR56">
        <f t="shared" si="61"/>
        <v>0</v>
      </c>
      <c r="CS56">
        <f t="shared" si="42"/>
        <v>0</v>
      </c>
      <c r="CT56">
        <f t="shared" si="43"/>
        <v>0</v>
      </c>
      <c r="CU56">
        <f t="shared" si="44"/>
        <v>0</v>
      </c>
      <c r="CV56">
        <f t="shared" si="45"/>
        <v>0</v>
      </c>
      <c r="CW56">
        <f t="shared" si="46"/>
        <v>0</v>
      </c>
      <c r="CX56">
        <f t="shared" si="47"/>
        <v>0</v>
      </c>
      <c r="CY56">
        <f>0</f>
        <v>0</v>
      </c>
      <c r="CZ56">
        <f>0</f>
        <v>0</v>
      </c>
      <c r="DC56" t="s">
        <v>6</v>
      </c>
      <c r="DD56" t="s">
        <v>6</v>
      </c>
      <c r="DE56" t="s">
        <v>6</v>
      </c>
      <c r="DF56" t="s">
        <v>6</v>
      </c>
      <c r="DG56" t="s">
        <v>6</v>
      </c>
      <c r="DH56" t="s">
        <v>6</v>
      </c>
      <c r="DI56" t="s">
        <v>6</v>
      </c>
      <c r="DJ56" t="s">
        <v>6</v>
      </c>
      <c r="DK56" t="s">
        <v>6</v>
      </c>
      <c r="DL56" t="s">
        <v>6</v>
      </c>
      <c r="DM56" t="s">
        <v>6</v>
      </c>
      <c r="DN56">
        <v>0</v>
      </c>
      <c r="DO56">
        <v>0</v>
      </c>
      <c r="DP56">
        <v>1</v>
      </c>
      <c r="DQ56">
        <v>1</v>
      </c>
      <c r="DU56">
        <v>1007</v>
      </c>
      <c r="DV56" t="s">
        <v>33</v>
      </c>
      <c r="DW56" t="str">
        <f>'2.Лок.смета.и.Акт в ЕР'!D164</f>
        <v>м3</v>
      </c>
      <c r="DX56">
        <v>1</v>
      </c>
      <c r="DZ56" t="s">
        <v>6</v>
      </c>
      <c r="EA56" t="s">
        <v>6</v>
      </c>
      <c r="EB56" t="s">
        <v>6</v>
      </c>
      <c r="EC56" t="s">
        <v>6</v>
      </c>
      <c r="EE56">
        <v>59670228</v>
      </c>
      <c r="EF56">
        <v>8</v>
      </c>
      <c r="EG56" t="s">
        <v>35</v>
      </c>
      <c r="EH56">
        <v>0</v>
      </c>
      <c r="EI56" t="s">
        <v>6</v>
      </c>
      <c r="EJ56">
        <v>1</v>
      </c>
      <c r="EK56">
        <v>500001</v>
      </c>
      <c r="EL56" t="s">
        <v>36</v>
      </c>
      <c r="EM56" t="s">
        <v>37</v>
      </c>
      <c r="EO56" t="s">
        <v>6</v>
      </c>
      <c r="EQ56">
        <v>0</v>
      </c>
      <c r="ER56">
        <v>592.76</v>
      </c>
      <c r="ES56" s="67" t="e">
        <f>'1.Лок.смета.и.Акт'!#REF!</f>
        <v>#REF!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f t="shared" si="16"/>
        <v>0</v>
      </c>
      <c r="FS56">
        <v>0</v>
      </c>
      <c r="FX56">
        <v>0</v>
      </c>
      <c r="FY56">
        <v>0</v>
      </c>
      <c r="GA56" t="s">
        <v>6</v>
      </c>
      <c r="GD56">
        <v>1</v>
      </c>
      <c r="GF56">
        <v>2039656126</v>
      </c>
      <c r="GG56">
        <v>2</v>
      </c>
      <c r="GH56">
        <v>1</v>
      </c>
      <c r="GI56">
        <v>4</v>
      </c>
      <c r="GJ56">
        <v>0</v>
      </c>
      <c r="GK56">
        <v>0</v>
      </c>
      <c r="GL56">
        <f t="shared" si="17"/>
        <v>0</v>
      </c>
      <c r="GM56" t="e">
        <f t="shared" si="48"/>
        <v>#REF!</v>
      </c>
      <c r="GN56" t="e">
        <f t="shared" si="18"/>
        <v>#REF!</v>
      </c>
      <c r="GO56">
        <f t="shared" si="19"/>
        <v>0</v>
      </c>
      <c r="GP56">
        <f t="shared" si="20"/>
        <v>0</v>
      </c>
      <c r="GR56">
        <v>0</v>
      </c>
      <c r="GS56">
        <v>3</v>
      </c>
      <c r="GT56">
        <v>0</v>
      </c>
      <c r="GU56" t="s">
        <v>6</v>
      </c>
      <c r="GV56">
        <f t="shared" si="49"/>
        <v>0</v>
      </c>
      <c r="GW56">
        <v>1</v>
      </c>
      <c r="GX56">
        <f t="shared" si="50"/>
        <v>0</v>
      </c>
      <c r="HA56">
        <v>0</v>
      </c>
      <c r="HB56">
        <v>0</v>
      </c>
      <c r="HC56">
        <f t="shared" si="51"/>
        <v>0</v>
      </c>
      <c r="HE56" t="s">
        <v>6</v>
      </c>
      <c r="HF56" t="s">
        <v>6</v>
      </c>
      <c r="HM56" t="s">
        <v>6</v>
      </c>
      <c r="HN56" t="s">
        <v>6</v>
      </c>
      <c r="HO56" t="s">
        <v>6</v>
      </c>
      <c r="HP56" t="s">
        <v>6</v>
      </c>
      <c r="HQ56" t="s">
        <v>6</v>
      </c>
      <c r="IF56">
        <v>-1</v>
      </c>
      <c r="IK56">
        <v>0</v>
      </c>
    </row>
    <row r="57" spans="1:247" x14ac:dyDescent="0.2">
      <c r="A57">
        <v>17</v>
      </c>
      <c r="B57">
        <v>1</v>
      </c>
      <c r="C57">
        <f>ROW(SmtRes!A97)</f>
        <v>97</v>
      </c>
      <c r="D57">
        <f>ROW(EtalonRes!A86)</f>
        <v>86</v>
      </c>
      <c r="E57" t="s">
        <v>162</v>
      </c>
      <c r="F57" t="s">
        <v>163</v>
      </c>
      <c r="G57" t="s">
        <v>164</v>
      </c>
      <c r="H57" t="s">
        <v>68</v>
      </c>
      <c r="I57">
        <f>'2.Лок.смета.и.Акт в ЕР'!E168</f>
        <v>0.78</v>
      </c>
      <c r="J57">
        <v>0</v>
      </c>
      <c r="K57">
        <f>ROUND(7.8/10,7)</f>
        <v>0.78</v>
      </c>
      <c r="O57" t="e">
        <f t="shared" si="23"/>
        <v>#REF!</v>
      </c>
      <c r="P57" t="e">
        <f t="shared" si="24"/>
        <v>#REF!</v>
      </c>
      <c r="Q57" t="e">
        <f t="shared" si="25"/>
        <v>#REF!</v>
      </c>
      <c r="R57" t="e">
        <f t="shared" si="26"/>
        <v>#REF!</v>
      </c>
      <c r="S57" t="e">
        <f t="shared" si="27"/>
        <v>#REF!</v>
      </c>
      <c r="T57">
        <f t="shared" si="28"/>
        <v>0</v>
      </c>
      <c r="U57">
        <f t="shared" si="29"/>
        <v>122.46</v>
      </c>
      <c r="V57">
        <f t="shared" si="30"/>
        <v>19.671600000000002</v>
      </c>
      <c r="W57">
        <f t="shared" si="31"/>
        <v>0</v>
      </c>
      <c r="X57" t="e">
        <f t="shared" si="32"/>
        <v>#REF!</v>
      </c>
      <c r="Y57" t="e">
        <f t="shared" si="33"/>
        <v>#REF!</v>
      </c>
      <c r="AA57">
        <v>67643165</v>
      </c>
      <c r="AB57" t="e">
        <f t="shared" si="34"/>
        <v>#REF!</v>
      </c>
      <c r="AC57" t="e">
        <f t="shared" si="35"/>
        <v>#REF!</v>
      </c>
      <c r="AD57" t="e">
        <f t="shared" si="36"/>
        <v>#REF!</v>
      </c>
      <c r="AE57" t="e">
        <f t="shared" si="52"/>
        <v>#REF!</v>
      </c>
      <c r="AF57" t="e">
        <f t="shared" si="54"/>
        <v>#REF!</v>
      </c>
      <c r="AG57">
        <f t="shared" si="37"/>
        <v>0</v>
      </c>
      <c r="AH57">
        <f t="shared" si="55"/>
        <v>157</v>
      </c>
      <c r="AI57">
        <f t="shared" si="53"/>
        <v>25.22</v>
      </c>
      <c r="AJ57">
        <f t="shared" si="38"/>
        <v>0</v>
      </c>
      <c r="AK57" t="e">
        <f>AL57+AM57+AO57</f>
        <v>#REF!</v>
      </c>
      <c r="AL57" s="67" t="e">
        <f>'1.Лок.смета.и.Акт'!#REF!</f>
        <v>#REF!</v>
      </c>
      <c r="AM57" s="67" t="e">
        <f>'1.Лок.смета.и.Акт'!#REF!</f>
        <v>#REF!</v>
      </c>
      <c r="AN57" s="67" t="e">
        <f>'1.Лок.смета.и.Акт'!#REF!</f>
        <v>#REF!</v>
      </c>
      <c r="AO57" s="67" t="e">
        <f>'1.Лок.смета.и.Акт'!#REF!</f>
        <v>#REF!</v>
      </c>
      <c r="AP57">
        <v>0</v>
      </c>
      <c r="AQ57">
        <f>'2.Лок.смета.и.Акт в ЕР'!E176</f>
        <v>157</v>
      </c>
      <c r="AR57">
        <v>25.22</v>
      </c>
      <c r="AS57">
        <v>0</v>
      </c>
      <c r="AT57">
        <v>117</v>
      </c>
      <c r="AU57">
        <v>74</v>
      </c>
      <c r="AV57">
        <v>1</v>
      </c>
      <c r="AW57">
        <v>1</v>
      </c>
      <c r="AZ57">
        <v>1</v>
      </c>
      <c r="BA57" t="e">
        <f>'1.Лок.смета.и.Акт'!#REF!</f>
        <v>#REF!</v>
      </c>
      <c r="BB57" t="e">
        <f>'1.Лок.смета.и.Акт'!#REF!</f>
        <v>#REF!</v>
      </c>
      <c r="BC57" t="e">
        <f>'1.Лок.смета.и.Акт'!#REF!</f>
        <v>#REF!</v>
      </c>
      <c r="BD57" t="s">
        <v>6</v>
      </c>
      <c r="BE57" t="s">
        <v>6</v>
      </c>
      <c r="BF57" t="s">
        <v>6</v>
      </c>
      <c r="BG57" t="s">
        <v>6</v>
      </c>
      <c r="BH57">
        <v>0</v>
      </c>
      <c r="BI57">
        <v>1</v>
      </c>
      <c r="BJ57" t="s">
        <v>165</v>
      </c>
      <c r="BM57">
        <v>23001</v>
      </c>
      <c r="BN57">
        <v>0</v>
      </c>
      <c r="BO57" t="s">
        <v>6</v>
      </c>
      <c r="BP57">
        <v>0</v>
      </c>
      <c r="BQ57">
        <v>2</v>
      </c>
      <c r="BR57">
        <v>0</v>
      </c>
      <c r="BS57" t="e">
        <f>'1.Лок.смета.и.Акт'!#REF!</f>
        <v>#REF!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6</v>
      </c>
      <c r="BZ57">
        <v>117</v>
      </c>
      <c r="CA57">
        <v>74</v>
      </c>
      <c r="CB57" t="s">
        <v>6</v>
      </c>
      <c r="CE57">
        <v>0</v>
      </c>
      <c r="CF57">
        <v>0</v>
      </c>
      <c r="CG57">
        <v>0</v>
      </c>
      <c r="CM57">
        <v>0</v>
      </c>
      <c r="CN57" t="s">
        <v>6</v>
      </c>
      <c r="CO57">
        <v>0</v>
      </c>
      <c r="CP57" t="e">
        <f t="shared" si="39"/>
        <v>#REF!</v>
      </c>
      <c r="CQ57" t="e">
        <f t="shared" si="60"/>
        <v>#REF!</v>
      </c>
      <c r="CR57" t="e">
        <f t="shared" si="61"/>
        <v>#REF!</v>
      </c>
      <c r="CS57" t="e">
        <f t="shared" si="42"/>
        <v>#REF!</v>
      </c>
      <c r="CT57" t="e">
        <f t="shared" si="43"/>
        <v>#REF!</v>
      </c>
      <c r="CU57">
        <f t="shared" si="44"/>
        <v>0</v>
      </c>
      <c r="CV57">
        <f t="shared" si="45"/>
        <v>157</v>
      </c>
      <c r="CW57">
        <f t="shared" si="46"/>
        <v>25.22</v>
      </c>
      <c r="CX57">
        <f t="shared" si="47"/>
        <v>0</v>
      </c>
      <c r="CY57" t="e">
        <f>(((S57+R57)*AT57)/100)</f>
        <v>#REF!</v>
      </c>
      <c r="CZ57" t="e">
        <f>(((S57+R57)*AU57)/100)</f>
        <v>#REF!</v>
      </c>
      <c r="DC57" t="s">
        <v>6</v>
      </c>
      <c r="DD57" t="s">
        <v>6</v>
      </c>
      <c r="DE57" t="s">
        <v>6</v>
      </c>
      <c r="DF57" t="s">
        <v>6</v>
      </c>
      <c r="DG57" t="s">
        <v>6</v>
      </c>
      <c r="DH57" t="s">
        <v>6</v>
      </c>
      <c r="DI57" t="s">
        <v>6</v>
      </c>
      <c r="DJ57" t="s">
        <v>6</v>
      </c>
      <c r="DK57" t="s">
        <v>6</v>
      </c>
      <c r="DL57" t="s">
        <v>6</v>
      </c>
      <c r="DM57" t="s">
        <v>6</v>
      </c>
      <c r="DN57">
        <v>0</v>
      </c>
      <c r="DO57">
        <v>0</v>
      </c>
      <c r="DP57">
        <v>1</v>
      </c>
      <c r="DQ57">
        <v>1</v>
      </c>
      <c r="DU57">
        <v>1007</v>
      </c>
      <c r="DV57" t="s">
        <v>68</v>
      </c>
      <c r="DW57" t="str">
        <f>'2.Лок.смета.и.Акт в ЕР'!D168</f>
        <v>10 м3</v>
      </c>
      <c r="DX57">
        <v>10</v>
      </c>
      <c r="DZ57" t="s">
        <v>6</v>
      </c>
      <c r="EA57" t="s">
        <v>6</v>
      </c>
      <c r="EB57" t="s">
        <v>6</v>
      </c>
      <c r="EC57" t="s">
        <v>6</v>
      </c>
      <c r="EE57">
        <v>59670359</v>
      </c>
      <c r="EF57">
        <v>2</v>
      </c>
      <c r="EG57" t="s">
        <v>23</v>
      </c>
      <c r="EH57">
        <v>18</v>
      </c>
      <c r="EI57" t="s">
        <v>70</v>
      </c>
      <c r="EJ57">
        <v>1</v>
      </c>
      <c r="EK57">
        <v>23001</v>
      </c>
      <c r="EL57" t="s">
        <v>70</v>
      </c>
      <c r="EM57" t="s">
        <v>71</v>
      </c>
      <c r="EO57" t="s">
        <v>6</v>
      </c>
      <c r="EQ57">
        <v>131072</v>
      </c>
      <c r="ER57" t="e">
        <f>ES57+ET57+EV57</f>
        <v>#REF!</v>
      </c>
      <c r="ES57" s="67" t="e">
        <f>'1.Лок.смета.и.Акт'!#REF!</f>
        <v>#REF!</v>
      </c>
      <c r="ET57" s="67" t="e">
        <f>'1.Лок.смета.и.Акт'!#REF!</f>
        <v>#REF!</v>
      </c>
      <c r="EU57" s="67" t="e">
        <f>'1.Лок.смета.и.Акт'!#REF!</f>
        <v>#REF!</v>
      </c>
      <c r="EV57" s="67" t="e">
        <f>'1.Лок.смета.и.Акт'!#REF!</f>
        <v>#REF!</v>
      </c>
      <c r="EW57">
        <f>'2.Лок.смета.и.Акт в ЕР'!E176</f>
        <v>157</v>
      </c>
      <c r="EX57">
        <v>25.22</v>
      </c>
      <c r="EY57">
        <v>0</v>
      </c>
      <c r="FQ57">
        <v>0</v>
      </c>
      <c r="FR57">
        <f t="shared" si="16"/>
        <v>0</v>
      </c>
      <c r="FS57">
        <v>0</v>
      </c>
      <c r="FX57">
        <v>117</v>
      </c>
      <c r="FY57">
        <v>74</v>
      </c>
      <c r="GA57" t="s">
        <v>6</v>
      </c>
      <c r="GD57">
        <v>1</v>
      </c>
      <c r="GF57">
        <v>1322996719</v>
      </c>
      <c r="GG57">
        <v>2</v>
      </c>
      <c r="GH57">
        <v>1</v>
      </c>
      <c r="GI57">
        <v>4</v>
      </c>
      <c r="GJ57">
        <v>0</v>
      </c>
      <c r="GK57">
        <v>0</v>
      </c>
      <c r="GL57">
        <f t="shared" si="17"/>
        <v>0</v>
      </c>
      <c r="GM57" t="e">
        <f t="shared" si="48"/>
        <v>#REF!</v>
      </c>
      <c r="GN57" t="e">
        <f t="shared" si="18"/>
        <v>#REF!</v>
      </c>
      <c r="GO57">
        <f t="shared" si="19"/>
        <v>0</v>
      </c>
      <c r="GP57">
        <f t="shared" si="20"/>
        <v>0</v>
      </c>
      <c r="GR57">
        <v>0</v>
      </c>
      <c r="GS57">
        <v>3</v>
      </c>
      <c r="GT57">
        <v>0</v>
      </c>
      <c r="GU57" t="s">
        <v>6</v>
      </c>
      <c r="GV57">
        <f t="shared" si="49"/>
        <v>0</v>
      </c>
      <c r="GW57">
        <v>1</v>
      </c>
      <c r="GX57">
        <f t="shared" si="50"/>
        <v>0</v>
      </c>
      <c r="HA57">
        <v>0</v>
      </c>
      <c r="HB57">
        <v>0</v>
      </c>
      <c r="HC57">
        <f t="shared" si="51"/>
        <v>0</v>
      </c>
      <c r="HE57" t="s">
        <v>6</v>
      </c>
      <c r="HF57" t="s">
        <v>6</v>
      </c>
      <c r="HM57" t="s">
        <v>6</v>
      </c>
      <c r="HN57" t="s">
        <v>72</v>
      </c>
      <c r="HO57" t="s">
        <v>73</v>
      </c>
      <c r="HP57" t="s">
        <v>70</v>
      </c>
      <c r="HQ57" t="s">
        <v>70</v>
      </c>
      <c r="IF57">
        <v>-1</v>
      </c>
      <c r="IK57">
        <v>0</v>
      </c>
      <c r="IL57" t="s">
        <v>520</v>
      </c>
      <c r="IM57">
        <v>0.78</v>
      </c>
    </row>
    <row r="58" spans="1:247" x14ac:dyDescent="0.2">
      <c r="A58">
        <v>18</v>
      </c>
      <c r="B58">
        <v>1</v>
      </c>
      <c r="C58">
        <v>94</v>
      </c>
      <c r="E58" t="s">
        <v>166</v>
      </c>
      <c r="F58" t="str">
        <f>'2.Лок.смета.и.Акт в ЕР'!B177</f>
        <v>05.1.01.11-0044</v>
      </c>
      <c r="G58" t="s">
        <v>98</v>
      </c>
      <c r="H58" t="s">
        <v>99</v>
      </c>
      <c r="I58">
        <f>I57*J58</f>
        <v>11</v>
      </c>
      <c r="J58" s="211">
        <f>'6.Ведомость_списания'!F88</f>
        <v>14.102564102564102</v>
      </c>
      <c r="K58">
        <v>14.1025641</v>
      </c>
      <c r="O58" t="e">
        <f t="shared" si="23"/>
        <v>#REF!</v>
      </c>
      <c r="P58" t="e">
        <f t="shared" si="24"/>
        <v>#REF!</v>
      </c>
      <c r="Q58">
        <f t="shared" si="25"/>
        <v>0</v>
      </c>
      <c r="R58">
        <f t="shared" si="26"/>
        <v>0</v>
      </c>
      <c r="S58">
        <f t="shared" si="27"/>
        <v>0</v>
      </c>
      <c r="T58">
        <f t="shared" si="28"/>
        <v>0</v>
      </c>
      <c r="U58">
        <f t="shared" si="29"/>
        <v>0</v>
      </c>
      <c r="V58">
        <f t="shared" si="30"/>
        <v>0</v>
      </c>
      <c r="W58">
        <f t="shared" si="31"/>
        <v>0</v>
      </c>
      <c r="X58">
        <f t="shared" si="32"/>
        <v>0</v>
      </c>
      <c r="Y58">
        <f t="shared" si="33"/>
        <v>0</v>
      </c>
      <c r="AA58">
        <v>67643165</v>
      </c>
      <c r="AB58" t="e">
        <f t="shared" si="34"/>
        <v>#REF!</v>
      </c>
      <c r="AC58" t="e">
        <f t="shared" si="35"/>
        <v>#REF!</v>
      </c>
      <c r="AD58">
        <f t="shared" si="36"/>
        <v>0</v>
      </c>
      <c r="AE58">
        <f t="shared" si="52"/>
        <v>0</v>
      </c>
      <c r="AF58">
        <f t="shared" si="54"/>
        <v>0</v>
      </c>
      <c r="AG58">
        <f t="shared" si="37"/>
        <v>0</v>
      </c>
      <c r="AH58">
        <f t="shared" si="55"/>
        <v>0</v>
      </c>
      <c r="AI58">
        <f t="shared" si="53"/>
        <v>0</v>
      </c>
      <c r="AJ58">
        <f t="shared" si="38"/>
        <v>0</v>
      </c>
      <c r="AK58">
        <v>215.48</v>
      </c>
      <c r="AL58" s="67" t="e">
        <f>'1.Лок.смета.и.Акт'!#REF!</f>
        <v>#REF!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</v>
      </c>
      <c r="AW58">
        <v>1</v>
      </c>
      <c r="AZ58">
        <v>1</v>
      </c>
      <c r="BA58">
        <v>1</v>
      </c>
      <c r="BB58">
        <v>1</v>
      </c>
      <c r="BC58" t="e">
        <f>'1.Лок.смета.и.Акт'!#REF!</f>
        <v>#REF!</v>
      </c>
      <c r="BD58" t="s">
        <v>6</v>
      </c>
      <c r="BE58" t="s">
        <v>6</v>
      </c>
      <c r="BF58" t="s">
        <v>6</v>
      </c>
      <c r="BG58" t="s">
        <v>6</v>
      </c>
      <c r="BH58">
        <v>3</v>
      </c>
      <c r="BI58">
        <v>1</v>
      </c>
      <c r="BJ58" t="s">
        <v>100</v>
      </c>
      <c r="BM58">
        <v>500001</v>
      </c>
      <c r="BN58">
        <v>0</v>
      </c>
      <c r="BO58" t="s">
        <v>6</v>
      </c>
      <c r="BP58">
        <v>0</v>
      </c>
      <c r="BQ58">
        <v>8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6</v>
      </c>
      <c r="BZ58">
        <v>0</v>
      </c>
      <c r="CA58">
        <v>0</v>
      </c>
      <c r="CB58" t="s">
        <v>6</v>
      </c>
      <c r="CE58">
        <v>0</v>
      </c>
      <c r="CF58">
        <v>0</v>
      </c>
      <c r="CG58">
        <v>0</v>
      </c>
      <c r="CM58">
        <v>0</v>
      </c>
      <c r="CN58" t="s">
        <v>6</v>
      </c>
      <c r="CO58">
        <v>0</v>
      </c>
      <c r="CP58" t="e">
        <f t="shared" si="39"/>
        <v>#REF!</v>
      </c>
      <c r="CQ58" t="e">
        <f t="shared" si="60"/>
        <v>#REF!</v>
      </c>
      <c r="CR58">
        <f t="shared" si="61"/>
        <v>0</v>
      </c>
      <c r="CS58">
        <f t="shared" si="42"/>
        <v>0</v>
      </c>
      <c r="CT58">
        <f t="shared" si="43"/>
        <v>0</v>
      </c>
      <c r="CU58">
        <f t="shared" si="44"/>
        <v>0</v>
      </c>
      <c r="CV58">
        <f t="shared" si="45"/>
        <v>0</v>
      </c>
      <c r="CW58">
        <f t="shared" si="46"/>
        <v>0</v>
      </c>
      <c r="CX58">
        <f t="shared" si="47"/>
        <v>0</v>
      </c>
      <c r="CY58">
        <f>0</f>
        <v>0</v>
      </c>
      <c r="CZ58">
        <f>0</f>
        <v>0</v>
      </c>
      <c r="DC58" t="s">
        <v>6</v>
      </c>
      <c r="DD58" t="s">
        <v>6</v>
      </c>
      <c r="DE58" t="s">
        <v>6</v>
      </c>
      <c r="DF58" t="s">
        <v>6</v>
      </c>
      <c r="DG58" t="s">
        <v>6</v>
      </c>
      <c r="DH58" t="s">
        <v>6</v>
      </c>
      <c r="DI58" t="s">
        <v>6</v>
      </c>
      <c r="DJ58" t="s">
        <v>6</v>
      </c>
      <c r="DK58" t="s">
        <v>6</v>
      </c>
      <c r="DL58" t="s">
        <v>6</v>
      </c>
      <c r="DM58" t="s">
        <v>6</v>
      </c>
      <c r="DN58">
        <v>0</v>
      </c>
      <c r="DO58">
        <v>0</v>
      </c>
      <c r="DP58">
        <v>1</v>
      </c>
      <c r="DQ58">
        <v>1</v>
      </c>
      <c r="DU58">
        <v>1013</v>
      </c>
      <c r="DV58" t="s">
        <v>99</v>
      </c>
      <c r="DW58" t="str">
        <f>'2.Лок.смета.и.Акт в ЕР'!D177</f>
        <v>ШТ</v>
      </c>
      <c r="DX58">
        <v>1</v>
      </c>
      <c r="DZ58" t="s">
        <v>6</v>
      </c>
      <c r="EA58" t="s">
        <v>6</v>
      </c>
      <c r="EB58" t="s">
        <v>6</v>
      </c>
      <c r="EC58" t="s">
        <v>6</v>
      </c>
      <c r="EE58">
        <v>59670228</v>
      </c>
      <c r="EF58">
        <v>8</v>
      </c>
      <c r="EG58" t="s">
        <v>35</v>
      </c>
      <c r="EH58">
        <v>0</v>
      </c>
      <c r="EI58" t="s">
        <v>6</v>
      </c>
      <c r="EJ58">
        <v>1</v>
      </c>
      <c r="EK58">
        <v>500001</v>
      </c>
      <c r="EL58" t="s">
        <v>36</v>
      </c>
      <c r="EM58" t="s">
        <v>37</v>
      </c>
      <c r="EO58" t="s">
        <v>6</v>
      </c>
      <c r="EQ58">
        <v>0</v>
      </c>
      <c r="ER58">
        <v>215.48</v>
      </c>
      <c r="ES58" s="67" t="e">
        <f>'1.Лок.смета.и.Акт'!#REF!</f>
        <v>#REF!</v>
      </c>
      <c r="ET58">
        <v>0</v>
      </c>
      <c r="EU58">
        <v>0</v>
      </c>
      <c r="EV58">
        <v>0</v>
      </c>
      <c r="EW58">
        <v>0</v>
      </c>
      <c r="EX58">
        <v>0</v>
      </c>
      <c r="FQ58">
        <v>0</v>
      </c>
      <c r="FR58">
        <f t="shared" si="16"/>
        <v>0</v>
      </c>
      <c r="FS58">
        <v>0</v>
      </c>
      <c r="FX58">
        <v>0</v>
      </c>
      <c r="FY58">
        <v>0</v>
      </c>
      <c r="GA58" t="s">
        <v>6</v>
      </c>
      <c r="GD58">
        <v>1</v>
      </c>
      <c r="GF58">
        <v>1854240702</v>
      </c>
      <c r="GG58">
        <v>2</v>
      </c>
      <c r="GH58">
        <v>1</v>
      </c>
      <c r="GI58">
        <v>4</v>
      </c>
      <c r="GJ58">
        <v>0</v>
      </c>
      <c r="GK58">
        <v>0</v>
      </c>
      <c r="GL58">
        <f t="shared" si="17"/>
        <v>0</v>
      </c>
      <c r="GM58" t="e">
        <f t="shared" si="48"/>
        <v>#REF!</v>
      </c>
      <c r="GN58" t="e">
        <f t="shared" si="18"/>
        <v>#REF!</v>
      </c>
      <c r="GO58">
        <f t="shared" si="19"/>
        <v>0</v>
      </c>
      <c r="GP58">
        <f t="shared" si="20"/>
        <v>0</v>
      </c>
      <c r="GR58">
        <v>0</v>
      </c>
      <c r="GS58">
        <v>3</v>
      </c>
      <c r="GT58">
        <v>0</v>
      </c>
      <c r="GU58" t="s">
        <v>6</v>
      </c>
      <c r="GV58">
        <f t="shared" si="49"/>
        <v>0</v>
      </c>
      <c r="GW58">
        <v>1</v>
      </c>
      <c r="GX58">
        <f t="shared" si="50"/>
        <v>0</v>
      </c>
      <c r="HA58">
        <v>0</v>
      </c>
      <c r="HB58">
        <v>0</v>
      </c>
      <c r="HC58">
        <f t="shared" si="51"/>
        <v>0</v>
      </c>
      <c r="HE58" t="s">
        <v>6</v>
      </c>
      <c r="HF58" t="s">
        <v>6</v>
      </c>
      <c r="HM58" t="s">
        <v>6</v>
      </c>
      <c r="HN58" t="s">
        <v>6</v>
      </c>
      <c r="HO58" t="s">
        <v>6</v>
      </c>
      <c r="HP58" t="s">
        <v>6</v>
      </c>
      <c r="HQ58" t="s">
        <v>6</v>
      </c>
      <c r="IF58">
        <v>-1</v>
      </c>
      <c r="IK58">
        <v>0</v>
      </c>
    </row>
    <row r="59" spans="1:247" x14ac:dyDescent="0.2">
      <c r="A59">
        <v>18</v>
      </c>
      <c r="B59">
        <v>1</v>
      </c>
      <c r="C59">
        <v>93</v>
      </c>
      <c r="E59" t="s">
        <v>167</v>
      </c>
      <c r="F59" t="str">
        <f>'2.Лок.смета.и.Акт в ЕР'!B178</f>
        <v>05.1.01.09-0057</v>
      </c>
      <c r="G59" t="s">
        <v>169</v>
      </c>
      <c r="H59" t="s">
        <v>99</v>
      </c>
      <c r="I59">
        <f>I57*J59</f>
        <v>11</v>
      </c>
      <c r="J59" s="211">
        <f>'6.Ведомость_списания'!F89</f>
        <v>14.102564102564102</v>
      </c>
      <c r="K59">
        <v>14.1025641</v>
      </c>
      <c r="O59" t="e">
        <f t="shared" si="23"/>
        <v>#REF!</v>
      </c>
      <c r="P59" t="e">
        <f t="shared" si="24"/>
        <v>#REF!</v>
      </c>
      <c r="Q59">
        <f t="shared" si="25"/>
        <v>0</v>
      </c>
      <c r="R59">
        <f t="shared" si="26"/>
        <v>0</v>
      </c>
      <c r="S59">
        <f t="shared" si="27"/>
        <v>0</v>
      </c>
      <c r="T59">
        <f t="shared" si="28"/>
        <v>0</v>
      </c>
      <c r="U59">
        <f t="shared" si="29"/>
        <v>0</v>
      </c>
      <c r="V59">
        <f t="shared" si="30"/>
        <v>0</v>
      </c>
      <c r="W59">
        <f t="shared" si="31"/>
        <v>0</v>
      </c>
      <c r="X59">
        <f t="shared" si="32"/>
        <v>0</v>
      </c>
      <c r="Y59">
        <f t="shared" si="33"/>
        <v>0</v>
      </c>
      <c r="AA59">
        <v>67643165</v>
      </c>
      <c r="AB59" t="e">
        <f t="shared" si="34"/>
        <v>#REF!</v>
      </c>
      <c r="AC59" t="e">
        <f t="shared" si="35"/>
        <v>#REF!</v>
      </c>
      <c r="AD59">
        <f t="shared" si="36"/>
        <v>0</v>
      </c>
      <c r="AE59">
        <f t="shared" si="52"/>
        <v>0</v>
      </c>
      <c r="AF59">
        <f t="shared" si="54"/>
        <v>0</v>
      </c>
      <c r="AG59">
        <f t="shared" si="37"/>
        <v>0</v>
      </c>
      <c r="AH59">
        <f t="shared" si="55"/>
        <v>0</v>
      </c>
      <c r="AI59">
        <f t="shared" si="53"/>
        <v>0</v>
      </c>
      <c r="AJ59">
        <f t="shared" si="38"/>
        <v>0</v>
      </c>
      <c r="AK59">
        <v>396.82</v>
      </c>
      <c r="AL59" s="67" t="e">
        <f>'1.Лок.смета.и.Акт'!#REF!</f>
        <v>#REF!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</v>
      </c>
      <c r="AZ59">
        <v>1</v>
      </c>
      <c r="BA59">
        <v>1</v>
      </c>
      <c r="BB59">
        <v>1</v>
      </c>
      <c r="BC59" t="e">
        <f>'1.Лок.смета.и.Акт'!#REF!</f>
        <v>#REF!</v>
      </c>
      <c r="BD59" t="s">
        <v>6</v>
      </c>
      <c r="BE59" t="s">
        <v>6</v>
      </c>
      <c r="BF59" t="s">
        <v>6</v>
      </c>
      <c r="BG59" t="s">
        <v>6</v>
      </c>
      <c r="BH59">
        <v>3</v>
      </c>
      <c r="BI59">
        <v>1</v>
      </c>
      <c r="BJ59" t="s">
        <v>170</v>
      </c>
      <c r="BM59">
        <v>500001</v>
      </c>
      <c r="BN59">
        <v>0</v>
      </c>
      <c r="BO59" t="s">
        <v>6</v>
      </c>
      <c r="BP59">
        <v>0</v>
      </c>
      <c r="BQ59">
        <v>8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6</v>
      </c>
      <c r="BZ59">
        <v>0</v>
      </c>
      <c r="CA59">
        <v>0</v>
      </c>
      <c r="CB59" t="s">
        <v>6</v>
      </c>
      <c r="CE59">
        <v>0</v>
      </c>
      <c r="CF59">
        <v>0</v>
      </c>
      <c r="CG59">
        <v>0</v>
      </c>
      <c r="CM59">
        <v>0</v>
      </c>
      <c r="CN59" t="s">
        <v>6</v>
      </c>
      <c r="CO59">
        <v>0</v>
      </c>
      <c r="CP59" t="e">
        <f t="shared" si="39"/>
        <v>#REF!</v>
      </c>
      <c r="CQ59" t="e">
        <f t="shared" si="60"/>
        <v>#REF!</v>
      </c>
      <c r="CR59">
        <f t="shared" si="61"/>
        <v>0</v>
      </c>
      <c r="CS59">
        <f t="shared" si="42"/>
        <v>0</v>
      </c>
      <c r="CT59">
        <f t="shared" si="43"/>
        <v>0</v>
      </c>
      <c r="CU59">
        <f t="shared" si="44"/>
        <v>0</v>
      </c>
      <c r="CV59">
        <f t="shared" si="45"/>
        <v>0</v>
      </c>
      <c r="CW59">
        <f t="shared" si="46"/>
        <v>0</v>
      </c>
      <c r="CX59">
        <f t="shared" si="47"/>
        <v>0</v>
      </c>
      <c r="CY59">
        <f>0</f>
        <v>0</v>
      </c>
      <c r="CZ59">
        <f>0</f>
        <v>0</v>
      </c>
      <c r="DC59" t="s">
        <v>6</v>
      </c>
      <c r="DD59" t="s">
        <v>6</v>
      </c>
      <c r="DE59" t="s">
        <v>6</v>
      </c>
      <c r="DF59" t="s">
        <v>6</v>
      </c>
      <c r="DG59" t="s">
        <v>6</v>
      </c>
      <c r="DH59" t="s">
        <v>6</v>
      </c>
      <c r="DI59" t="s">
        <v>6</v>
      </c>
      <c r="DJ59" t="s">
        <v>6</v>
      </c>
      <c r="DK59" t="s">
        <v>6</v>
      </c>
      <c r="DL59" t="s">
        <v>6</v>
      </c>
      <c r="DM59" t="s">
        <v>6</v>
      </c>
      <c r="DN59">
        <v>0</v>
      </c>
      <c r="DO59">
        <v>0</v>
      </c>
      <c r="DP59">
        <v>1</v>
      </c>
      <c r="DQ59">
        <v>1</v>
      </c>
      <c r="DU59">
        <v>1013</v>
      </c>
      <c r="DV59" t="s">
        <v>99</v>
      </c>
      <c r="DW59" t="str">
        <f>'2.Лок.смета.и.Акт в ЕР'!D178</f>
        <v>ШТ</v>
      </c>
      <c r="DX59">
        <v>1</v>
      </c>
      <c r="DZ59" t="s">
        <v>6</v>
      </c>
      <c r="EA59" t="s">
        <v>6</v>
      </c>
      <c r="EB59" t="s">
        <v>6</v>
      </c>
      <c r="EC59" t="s">
        <v>6</v>
      </c>
      <c r="EE59">
        <v>59670228</v>
      </c>
      <c r="EF59">
        <v>8</v>
      </c>
      <c r="EG59" t="s">
        <v>35</v>
      </c>
      <c r="EH59">
        <v>0</v>
      </c>
      <c r="EI59" t="s">
        <v>6</v>
      </c>
      <c r="EJ59">
        <v>1</v>
      </c>
      <c r="EK59">
        <v>500001</v>
      </c>
      <c r="EL59" t="s">
        <v>36</v>
      </c>
      <c r="EM59" t="s">
        <v>37</v>
      </c>
      <c r="EO59" t="s">
        <v>6</v>
      </c>
      <c r="EQ59">
        <v>0</v>
      </c>
      <c r="ER59">
        <v>396.82</v>
      </c>
      <c r="ES59" s="67" t="e">
        <f>'1.Лок.смета.и.Акт'!#REF!</f>
        <v>#REF!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16"/>
        <v>0</v>
      </c>
      <c r="FS59">
        <v>0</v>
      </c>
      <c r="FX59">
        <v>0</v>
      </c>
      <c r="FY59">
        <v>0</v>
      </c>
      <c r="GA59" t="s">
        <v>6</v>
      </c>
      <c r="GD59">
        <v>1</v>
      </c>
      <c r="GF59">
        <v>21621353</v>
      </c>
      <c r="GG59">
        <v>2</v>
      </c>
      <c r="GH59">
        <v>1</v>
      </c>
      <c r="GI59">
        <v>4</v>
      </c>
      <c r="GJ59">
        <v>0</v>
      </c>
      <c r="GK59">
        <v>0</v>
      </c>
      <c r="GL59">
        <f t="shared" si="17"/>
        <v>0</v>
      </c>
      <c r="GM59" t="e">
        <f t="shared" si="48"/>
        <v>#REF!</v>
      </c>
      <c r="GN59" t="e">
        <f t="shared" si="18"/>
        <v>#REF!</v>
      </c>
      <c r="GO59">
        <f t="shared" si="19"/>
        <v>0</v>
      </c>
      <c r="GP59">
        <f t="shared" si="20"/>
        <v>0</v>
      </c>
      <c r="GR59">
        <v>0</v>
      </c>
      <c r="GS59">
        <v>3</v>
      </c>
      <c r="GT59">
        <v>0</v>
      </c>
      <c r="GU59" t="s">
        <v>6</v>
      </c>
      <c r="GV59">
        <f t="shared" si="49"/>
        <v>0</v>
      </c>
      <c r="GW59">
        <v>1</v>
      </c>
      <c r="GX59">
        <f t="shared" si="50"/>
        <v>0</v>
      </c>
      <c r="HA59">
        <v>0</v>
      </c>
      <c r="HB59">
        <v>0</v>
      </c>
      <c r="HC59">
        <f t="shared" si="51"/>
        <v>0</v>
      </c>
      <c r="HE59" t="s">
        <v>6</v>
      </c>
      <c r="HF59" t="s">
        <v>6</v>
      </c>
      <c r="HM59" t="s">
        <v>6</v>
      </c>
      <c r="HN59" t="s">
        <v>6</v>
      </c>
      <c r="HO59" t="s">
        <v>6</v>
      </c>
      <c r="HP59" t="s">
        <v>6</v>
      </c>
      <c r="HQ59" t="s">
        <v>6</v>
      </c>
      <c r="IF59">
        <v>-1</v>
      </c>
      <c r="IK59">
        <v>0</v>
      </c>
    </row>
    <row r="60" spans="1:247" x14ac:dyDescent="0.2">
      <c r="A60">
        <v>18</v>
      </c>
      <c r="B60">
        <v>1</v>
      </c>
      <c r="C60">
        <v>95</v>
      </c>
      <c r="E60" t="s">
        <v>171</v>
      </c>
      <c r="F60" t="str">
        <f>'2.Лок.смета.и.Акт в ЕР'!B179</f>
        <v>05.1.01.13-0062</v>
      </c>
      <c r="G60" t="s">
        <v>173</v>
      </c>
      <c r="H60" t="s">
        <v>33</v>
      </c>
      <c r="I60">
        <f>I57*J60</f>
        <v>0.99</v>
      </c>
      <c r="J60" s="211">
        <f>'6.Ведомость_списания'!F90</f>
        <v>1.2692307692307692</v>
      </c>
      <c r="K60">
        <v>1.2692308000000001</v>
      </c>
      <c r="O60" t="e">
        <f t="shared" si="23"/>
        <v>#REF!</v>
      </c>
      <c r="P60" t="e">
        <f t="shared" si="24"/>
        <v>#REF!</v>
      </c>
      <c r="Q60">
        <f t="shared" si="25"/>
        <v>0</v>
      </c>
      <c r="R60">
        <f t="shared" si="26"/>
        <v>0</v>
      </c>
      <c r="S60">
        <f t="shared" si="27"/>
        <v>0</v>
      </c>
      <c r="T60">
        <f t="shared" si="28"/>
        <v>0</v>
      </c>
      <c r="U60">
        <f t="shared" si="29"/>
        <v>0</v>
      </c>
      <c r="V60">
        <f t="shared" si="30"/>
        <v>0</v>
      </c>
      <c r="W60">
        <f t="shared" si="31"/>
        <v>0</v>
      </c>
      <c r="X60">
        <f t="shared" si="32"/>
        <v>0</v>
      </c>
      <c r="Y60">
        <f t="shared" si="33"/>
        <v>0</v>
      </c>
      <c r="AA60">
        <v>67643165</v>
      </c>
      <c r="AB60" t="e">
        <f t="shared" si="34"/>
        <v>#REF!</v>
      </c>
      <c r="AC60" t="e">
        <f t="shared" si="35"/>
        <v>#REF!</v>
      </c>
      <c r="AD60">
        <f t="shared" si="36"/>
        <v>0</v>
      </c>
      <c r="AE60">
        <f t="shared" si="52"/>
        <v>0</v>
      </c>
      <c r="AF60">
        <f t="shared" si="54"/>
        <v>0</v>
      </c>
      <c r="AG60">
        <f t="shared" si="37"/>
        <v>0</v>
      </c>
      <c r="AH60">
        <f t="shared" si="55"/>
        <v>0</v>
      </c>
      <c r="AI60">
        <f t="shared" si="53"/>
        <v>0</v>
      </c>
      <c r="AJ60">
        <f t="shared" si="38"/>
        <v>0</v>
      </c>
      <c r="AK60">
        <v>1760</v>
      </c>
      <c r="AL60" s="67" t="e">
        <f>'1.Лок.смета.и.Акт'!#REF!</f>
        <v>#REF!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1</v>
      </c>
      <c r="AZ60">
        <v>1</v>
      </c>
      <c r="BA60">
        <v>1</v>
      </c>
      <c r="BB60">
        <v>1</v>
      </c>
      <c r="BC60" t="e">
        <f>'1.Лок.смета.и.Акт'!#REF!</f>
        <v>#REF!</v>
      </c>
      <c r="BD60" t="s">
        <v>6</v>
      </c>
      <c r="BE60" t="s">
        <v>6</v>
      </c>
      <c r="BF60" t="s">
        <v>6</v>
      </c>
      <c r="BG60" t="s">
        <v>6</v>
      </c>
      <c r="BH60">
        <v>3</v>
      </c>
      <c r="BI60">
        <v>1</v>
      </c>
      <c r="BJ60" t="s">
        <v>174</v>
      </c>
      <c r="BM60">
        <v>500001</v>
      </c>
      <c r="BN60">
        <v>0</v>
      </c>
      <c r="BO60" t="s">
        <v>6</v>
      </c>
      <c r="BP60">
        <v>0</v>
      </c>
      <c r="BQ60">
        <v>8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6</v>
      </c>
      <c r="BZ60">
        <v>0</v>
      </c>
      <c r="CA60">
        <v>0</v>
      </c>
      <c r="CB60" t="s">
        <v>6</v>
      </c>
      <c r="CE60">
        <v>0</v>
      </c>
      <c r="CF60">
        <v>0</v>
      </c>
      <c r="CG60">
        <v>0</v>
      </c>
      <c r="CM60">
        <v>0</v>
      </c>
      <c r="CN60" t="s">
        <v>6</v>
      </c>
      <c r="CO60">
        <v>0</v>
      </c>
      <c r="CP60" t="e">
        <f t="shared" si="39"/>
        <v>#REF!</v>
      </c>
      <c r="CQ60" t="e">
        <f t="shared" si="60"/>
        <v>#REF!</v>
      </c>
      <c r="CR60">
        <f t="shared" si="61"/>
        <v>0</v>
      </c>
      <c r="CS60">
        <f t="shared" si="42"/>
        <v>0</v>
      </c>
      <c r="CT60">
        <f t="shared" si="43"/>
        <v>0</v>
      </c>
      <c r="CU60">
        <f t="shared" si="44"/>
        <v>0</v>
      </c>
      <c r="CV60">
        <f t="shared" si="45"/>
        <v>0</v>
      </c>
      <c r="CW60">
        <f t="shared" si="46"/>
        <v>0</v>
      </c>
      <c r="CX60">
        <f t="shared" si="47"/>
        <v>0</v>
      </c>
      <c r="CY60">
        <f>0</f>
        <v>0</v>
      </c>
      <c r="CZ60">
        <f>0</f>
        <v>0</v>
      </c>
      <c r="DC60" t="s">
        <v>6</v>
      </c>
      <c r="DD60" t="s">
        <v>6</v>
      </c>
      <c r="DE60" t="s">
        <v>6</v>
      </c>
      <c r="DF60" t="s">
        <v>6</v>
      </c>
      <c r="DG60" t="s">
        <v>6</v>
      </c>
      <c r="DH60" t="s">
        <v>6</v>
      </c>
      <c r="DI60" t="s">
        <v>6</v>
      </c>
      <c r="DJ60" t="s">
        <v>6</v>
      </c>
      <c r="DK60" t="s">
        <v>6</v>
      </c>
      <c r="DL60" t="s">
        <v>6</v>
      </c>
      <c r="DM60" t="s">
        <v>6</v>
      </c>
      <c r="DN60">
        <v>0</v>
      </c>
      <c r="DO60">
        <v>0</v>
      </c>
      <c r="DP60">
        <v>1</v>
      </c>
      <c r="DQ60">
        <v>1</v>
      </c>
      <c r="DU60">
        <v>1007</v>
      </c>
      <c r="DV60" t="s">
        <v>33</v>
      </c>
      <c r="DW60" t="str">
        <f>'2.Лок.смета.и.Акт в ЕР'!D179</f>
        <v>м3</v>
      </c>
      <c r="DX60">
        <v>1</v>
      </c>
      <c r="DZ60" t="s">
        <v>6</v>
      </c>
      <c r="EA60" t="s">
        <v>6</v>
      </c>
      <c r="EB60" t="s">
        <v>6</v>
      </c>
      <c r="EC60" t="s">
        <v>6</v>
      </c>
      <c r="EE60">
        <v>59670228</v>
      </c>
      <c r="EF60">
        <v>8</v>
      </c>
      <c r="EG60" t="s">
        <v>35</v>
      </c>
      <c r="EH60">
        <v>0</v>
      </c>
      <c r="EI60" t="s">
        <v>6</v>
      </c>
      <c r="EJ60">
        <v>1</v>
      </c>
      <c r="EK60">
        <v>500001</v>
      </c>
      <c r="EL60" t="s">
        <v>36</v>
      </c>
      <c r="EM60" t="s">
        <v>37</v>
      </c>
      <c r="EO60" t="s">
        <v>6</v>
      </c>
      <c r="EQ60">
        <v>0</v>
      </c>
      <c r="ER60">
        <v>1760</v>
      </c>
      <c r="ES60" s="67" t="e">
        <f>'1.Лок.смета.и.Акт'!#REF!</f>
        <v>#REF!</v>
      </c>
      <c r="ET60">
        <v>0</v>
      </c>
      <c r="EU60">
        <v>0</v>
      </c>
      <c r="EV60">
        <v>0</v>
      </c>
      <c r="EW60">
        <v>0</v>
      </c>
      <c r="EX60">
        <v>0</v>
      </c>
      <c r="FQ60">
        <v>0</v>
      </c>
      <c r="FR60">
        <f t="shared" si="16"/>
        <v>0</v>
      </c>
      <c r="FS60">
        <v>0</v>
      </c>
      <c r="FX60">
        <v>0</v>
      </c>
      <c r="FY60">
        <v>0</v>
      </c>
      <c r="GA60" t="s">
        <v>6</v>
      </c>
      <c r="GD60">
        <v>1</v>
      </c>
      <c r="GF60">
        <v>-497633904</v>
      </c>
      <c r="GG60">
        <v>2</v>
      </c>
      <c r="GH60">
        <v>1</v>
      </c>
      <c r="GI60">
        <v>4</v>
      </c>
      <c r="GJ60">
        <v>0</v>
      </c>
      <c r="GK60">
        <v>0</v>
      </c>
      <c r="GL60">
        <f t="shared" si="17"/>
        <v>0</v>
      </c>
      <c r="GM60" t="e">
        <f t="shared" si="48"/>
        <v>#REF!</v>
      </c>
      <c r="GN60" t="e">
        <f t="shared" si="18"/>
        <v>#REF!</v>
      </c>
      <c r="GO60">
        <f t="shared" si="19"/>
        <v>0</v>
      </c>
      <c r="GP60">
        <f t="shared" si="20"/>
        <v>0</v>
      </c>
      <c r="GR60">
        <v>0</v>
      </c>
      <c r="GS60">
        <v>3</v>
      </c>
      <c r="GT60">
        <v>0</v>
      </c>
      <c r="GU60" t="s">
        <v>6</v>
      </c>
      <c r="GV60">
        <f t="shared" si="49"/>
        <v>0</v>
      </c>
      <c r="GW60">
        <v>1</v>
      </c>
      <c r="GX60">
        <f t="shared" si="50"/>
        <v>0</v>
      </c>
      <c r="HA60">
        <v>0</v>
      </c>
      <c r="HB60">
        <v>0</v>
      </c>
      <c r="HC60">
        <f t="shared" si="51"/>
        <v>0</v>
      </c>
      <c r="HE60" t="s">
        <v>6</v>
      </c>
      <c r="HF60" t="s">
        <v>6</v>
      </c>
      <c r="HM60" t="s">
        <v>6</v>
      </c>
      <c r="HN60" t="s">
        <v>6</v>
      </c>
      <c r="HO60" t="s">
        <v>6</v>
      </c>
      <c r="HP60" t="s">
        <v>6</v>
      </c>
      <c r="HQ60" t="s">
        <v>6</v>
      </c>
      <c r="IF60">
        <v>-1</v>
      </c>
      <c r="IK60">
        <v>0</v>
      </c>
    </row>
    <row r="61" spans="1:247" x14ac:dyDescent="0.2">
      <c r="A61">
        <v>18</v>
      </c>
      <c r="B61">
        <v>1</v>
      </c>
      <c r="C61">
        <v>96</v>
      </c>
      <c r="E61" t="s">
        <v>175</v>
      </c>
      <c r="F61" t="str">
        <f>'2.Лок.смета.и.Акт в ЕР'!B180</f>
        <v>08.1.02.06-0042</v>
      </c>
      <c r="G61" t="s">
        <v>177</v>
      </c>
      <c r="H61" t="s">
        <v>99</v>
      </c>
      <c r="I61">
        <f>I57*J61</f>
        <v>11</v>
      </c>
      <c r="J61" s="211">
        <f>'6.Ведомость_списания'!F91</f>
        <v>14.102564102564102</v>
      </c>
      <c r="K61">
        <v>14.1025641</v>
      </c>
      <c r="O61" t="e">
        <f t="shared" si="23"/>
        <v>#REF!</v>
      </c>
      <c r="P61" t="e">
        <f t="shared" si="24"/>
        <v>#REF!</v>
      </c>
      <c r="Q61">
        <f t="shared" si="25"/>
        <v>0</v>
      </c>
      <c r="R61">
        <f t="shared" si="26"/>
        <v>0</v>
      </c>
      <c r="S61">
        <f t="shared" si="27"/>
        <v>0</v>
      </c>
      <c r="T61">
        <f t="shared" si="28"/>
        <v>0</v>
      </c>
      <c r="U61">
        <f t="shared" si="29"/>
        <v>0</v>
      </c>
      <c r="V61">
        <f t="shared" si="30"/>
        <v>0</v>
      </c>
      <c r="W61">
        <f t="shared" si="31"/>
        <v>0</v>
      </c>
      <c r="X61">
        <f t="shared" si="32"/>
        <v>0</v>
      </c>
      <c r="Y61">
        <f t="shared" si="33"/>
        <v>0</v>
      </c>
      <c r="AA61">
        <v>67643165</v>
      </c>
      <c r="AB61" t="e">
        <f t="shared" si="34"/>
        <v>#REF!</v>
      </c>
      <c r="AC61" t="e">
        <f t="shared" si="35"/>
        <v>#REF!</v>
      </c>
      <c r="AD61">
        <f t="shared" si="36"/>
        <v>0</v>
      </c>
      <c r="AE61">
        <f t="shared" si="52"/>
        <v>0</v>
      </c>
      <c r="AF61">
        <f t="shared" si="54"/>
        <v>0</v>
      </c>
      <c r="AG61">
        <f t="shared" si="37"/>
        <v>0</v>
      </c>
      <c r="AH61">
        <f t="shared" si="55"/>
        <v>0</v>
      </c>
      <c r="AI61">
        <f t="shared" si="53"/>
        <v>0</v>
      </c>
      <c r="AJ61">
        <f t="shared" si="38"/>
        <v>0</v>
      </c>
      <c r="AK61">
        <v>8398.35</v>
      </c>
      <c r="AL61" s="67" t="e">
        <f>'1.Лок.смета.и.Акт'!#REF!</f>
        <v>#REF!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</v>
      </c>
      <c r="AW61">
        <v>1</v>
      </c>
      <c r="AZ61">
        <v>1</v>
      </c>
      <c r="BA61">
        <v>1</v>
      </c>
      <c r="BB61">
        <v>1</v>
      </c>
      <c r="BC61" t="e">
        <f>'1.Лок.смета.и.Акт'!#REF!</f>
        <v>#REF!</v>
      </c>
      <c r="BD61" t="s">
        <v>6</v>
      </c>
      <c r="BE61" t="s">
        <v>6</v>
      </c>
      <c r="BF61" t="s">
        <v>6</v>
      </c>
      <c r="BG61" t="s">
        <v>6</v>
      </c>
      <c r="BH61">
        <v>3</v>
      </c>
      <c r="BI61">
        <v>1</v>
      </c>
      <c r="BJ61" t="s">
        <v>178</v>
      </c>
      <c r="BM61">
        <v>500001</v>
      </c>
      <c r="BN61">
        <v>0</v>
      </c>
      <c r="BO61" t="s">
        <v>6</v>
      </c>
      <c r="BP61">
        <v>0</v>
      </c>
      <c r="BQ61">
        <v>8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6</v>
      </c>
      <c r="BZ61">
        <v>0</v>
      </c>
      <c r="CA61">
        <v>0</v>
      </c>
      <c r="CB61" t="s">
        <v>6</v>
      </c>
      <c r="CE61">
        <v>0</v>
      </c>
      <c r="CF61">
        <v>0</v>
      </c>
      <c r="CG61">
        <v>0</v>
      </c>
      <c r="CM61">
        <v>0</v>
      </c>
      <c r="CN61" t="s">
        <v>6</v>
      </c>
      <c r="CO61">
        <v>0</v>
      </c>
      <c r="CP61" t="e">
        <f t="shared" si="39"/>
        <v>#REF!</v>
      </c>
      <c r="CQ61" t="e">
        <f>AC61</f>
        <v>#REF!</v>
      </c>
      <c r="CR61">
        <f>(((ET61)-(EU61)*BS61)+AE61*BS61)</f>
        <v>0</v>
      </c>
      <c r="CS61">
        <f t="shared" si="42"/>
        <v>0</v>
      </c>
      <c r="CT61">
        <f t="shared" si="43"/>
        <v>0</v>
      </c>
      <c r="CU61">
        <f t="shared" si="44"/>
        <v>0</v>
      </c>
      <c r="CV61">
        <f t="shared" si="45"/>
        <v>0</v>
      </c>
      <c r="CW61">
        <f t="shared" si="46"/>
        <v>0</v>
      </c>
      <c r="CX61">
        <f t="shared" si="47"/>
        <v>0</v>
      </c>
      <c r="CY61">
        <f>0</f>
        <v>0</v>
      </c>
      <c r="CZ61">
        <f>0</f>
        <v>0</v>
      </c>
      <c r="DC61" t="s">
        <v>6</v>
      </c>
      <c r="DD61" t="s">
        <v>6</v>
      </c>
      <c r="DE61" t="s">
        <v>6</v>
      </c>
      <c r="DF61" t="s">
        <v>6</v>
      </c>
      <c r="DG61" t="s">
        <v>6</v>
      </c>
      <c r="DH61" t="s">
        <v>6</v>
      </c>
      <c r="DI61" t="s">
        <v>6</v>
      </c>
      <c r="DJ61" t="s">
        <v>6</v>
      </c>
      <c r="DK61" t="s">
        <v>6</v>
      </c>
      <c r="DL61" t="s">
        <v>6</v>
      </c>
      <c r="DM61" t="s">
        <v>6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99</v>
      </c>
      <c r="DW61" t="str">
        <f>'2.Лок.смета.и.Акт в ЕР'!D180</f>
        <v>ШТ</v>
      </c>
      <c r="DX61">
        <v>1</v>
      </c>
      <c r="DZ61" t="s">
        <v>6</v>
      </c>
      <c r="EA61" t="s">
        <v>6</v>
      </c>
      <c r="EB61" t="s">
        <v>6</v>
      </c>
      <c r="EC61" t="s">
        <v>6</v>
      </c>
      <c r="EE61">
        <v>59670228</v>
      </c>
      <c r="EF61">
        <v>8</v>
      </c>
      <c r="EG61" t="s">
        <v>35</v>
      </c>
      <c r="EH61">
        <v>0</v>
      </c>
      <c r="EI61" t="s">
        <v>6</v>
      </c>
      <c r="EJ61">
        <v>1</v>
      </c>
      <c r="EK61">
        <v>500001</v>
      </c>
      <c r="EL61" t="s">
        <v>36</v>
      </c>
      <c r="EM61" t="s">
        <v>37</v>
      </c>
      <c r="EO61" t="s">
        <v>6</v>
      </c>
      <c r="EQ61">
        <v>0</v>
      </c>
      <c r="ER61">
        <v>8398.35</v>
      </c>
      <c r="ES61" s="67" t="e">
        <f>'1.Лок.смета.и.Акт'!#REF!</f>
        <v>#REF!</v>
      </c>
      <c r="ET61">
        <v>0</v>
      </c>
      <c r="EU61">
        <v>0</v>
      </c>
      <c r="EV61">
        <v>0</v>
      </c>
      <c r="EW61">
        <v>0</v>
      </c>
      <c r="EX61">
        <v>0</v>
      </c>
      <c r="EZ61">
        <v>5</v>
      </c>
      <c r="FC61">
        <v>1</v>
      </c>
      <c r="FD61">
        <v>18</v>
      </c>
      <c r="FF61">
        <v>9583.33</v>
      </c>
      <c r="FQ61">
        <v>0</v>
      </c>
      <c r="FR61">
        <f t="shared" si="16"/>
        <v>0</v>
      </c>
      <c r="FS61">
        <v>0</v>
      </c>
      <c r="FX61">
        <v>0</v>
      </c>
      <c r="FY61">
        <v>0</v>
      </c>
      <c r="GA61" t="s">
        <v>179</v>
      </c>
      <c r="GD61">
        <v>1</v>
      </c>
      <c r="GF61">
        <v>-785637132</v>
      </c>
      <c r="GG61">
        <v>2</v>
      </c>
      <c r="GH61">
        <v>3</v>
      </c>
      <c r="GI61">
        <v>4</v>
      </c>
      <c r="GJ61">
        <v>0</v>
      </c>
      <c r="GK61">
        <v>0</v>
      </c>
      <c r="GL61">
        <f t="shared" si="17"/>
        <v>0</v>
      </c>
      <c r="GM61" t="e">
        <f t="shared" si="48"/>
        <v>#REF!</v>
      </c>
      <c r="GN61" t="e">
        <f t="shared" si="18"/>
        <v>#REF!</v>
      </c>
      <c r="GO61">
        <f t="shared" si="19"/>
        <v>0</v>
      </c>
      <c r="GP61">
        <f t="shared" si="20"/>
        <v>0</v>
      </c>
      <c r="GR61">
        <v>1</v>
      </c>
      <c r="GS61">
        <v>1</v>
      </c>
      <c r="GT61">
        <v>0</v>
      </c>
      <c r="GU61" t="s">
        <v>6</v>
      </c>
      <c r="GV61">
        <f t="shared" si="49"/>
        <v>0</v>
      </c>
      <c r="GW61">
        <v>1</v>
      </c>
      <c r="GX61">
        <f t="shared" si="50"/>
        <v>0</v>
      </c>
      <c r="HA61">
        <v>0</v>
      </c>
      <c r="HB61">
        <v>0</v>
      </c>
      <c r="HC61">
        <f t="shared" si="51"/>
        <v>0</v>
      </c>
      <c r="HE61" t="s">
        <v>136</v>
      </c>
      <c r="HF61" t="s">
        <v>38</v>
      </c>
      <c r="HG61" t="e">
        <f>ROUND(AC61*I61,2)</f>
        <v>#REF!</v>
      </c>
      <c r="HM61" t="s">
        <v>6</v>
      </c>
      <c r="HN61" t="s">
        <v>6</v>
      </c>
      <c r="HO61" t="s">
        <v>6</v>
      </c>
      <c r="HP61" t="s">
        <v>6</v>
      </c>
      <c r="HQ61" t="s">
        <v>6</v>
      </c>
      <c r="IF61">
        <v>-1</v>
      </c>
      <c r="IK61">
        <v>0</v>
      </c>
    </row>
    <row r="62" spans="1:247" x14ac:dyDescent="0.2">
      <c r="A62">
        <v>18</v>
      </c>
      <c r="B62">
        <v>1</v>
      </c>
      <c r="C62">
        <v>88</v>
      </c>
      <c r="E62" t="s">
        <v>180</v>
      </c>
      <c r="F62" t="str">
        <f>'2.Лок.смета.и.Акт в ЕР'!B182</f>
        <v>04.1.02.05-0006</v>
      </c>
      <c r="G62" t="s">
        <v>103</v>
      </c>
      <c r="H62" t="s">
        <v>33</v>
      </c>
      <c r="I62">
        <f>I57*J62</f>
        <v>-0.70199999999999996</v>
      </c>
      <c r="J62">
        <v>-0.89999999999999991</v>
      </c>
      <c r="K62">
        <v>-0.9</v>
      </c>
      <c r="O62" t="e">
        <f t="shared" si="23"/>
        <v>#REF!</v>
      </c>
      <c r="P62" t="e">
        <f t="shared" si="24"/>
        <v>#REF!</v>
      </c>
      <c r="Q62">
        <f t="shared" si="25"/>
        <v>0</v>
      </c>
      <c r="R62">
        <f t="shared" si="26"/>
        <v>0</v>
      </c>
      <c r="S62">
        <f t="shared" si="27"/>
        <v>0</v>
      </c>
      <c r="T62">
        <f t="shared" si="28"/>
        <v>0</v>
      </c>
      <c r="U62">
        <f t="shared" si="29"/>
        <v>0</v>
      </c>
      <c r="V62">
        <f t="shared" si="30"/>
        <v>0</v>
      </c>
      <c r="W62">
        <f t="shared" si="31"/>
        <v>0</v>
      </c>
      <c r="X62">
        <f t="shared" si="32"/>
        <v>0</v>
      </c>
      <c r="Y62">
        <f t="shared" si="33"/>
        <v>0</v>
      </c>
      <c r="AA62">
        <v>67643165</v>
      </c>
      <c r="AB62" t="e">
        <f t="shared" si="34"/>
        <v>#REF!</v>
      </c>
      <c r="AC62" t="e">
        <f t="shared" si="35"/>
        <v>#REF!</v>
      </c>
      <c r="AD62">
        <f t="shared" si="36"/>
        <v>0</v>
      </c>
      <c r="AE62">
        <f t="shared" si="52"/>
        <v>0</v>
      </c>
      <c r="AF62">
        <f t="shared" si="54"/>
        <v>0</v>
      </c>
      <c r="AG62">
        <f t="shared" si="37"/>
        <v>0</v>
      </c>
      <c r="AH62">
        <f t="shared" si="55"/>
        <v>0</v>
      </c>
      <c r="AI62">
        <f t="shared" si="53"/>
        <v>0</v>
      </c>
      <c r="AJ62">
        <f t="shared" si="38"/>
        <v>0</v>
      </c>
      <c r="AK62">
        <v>592.76</v>
      </c>
      <c r="AL62" s="67" t="e">
        <f>'1.Лок.смета.и.Акт'!#REF!</f>
        <v>#REF!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1</v>
      </c>
      <c r="AW62">
        <v>1</v>
      </c>
      <c r="AZ62">
        <v>1</v>
      </c>
      <c r="BA62">
        <v>1</v>
      </c>
      <c r="BB62">
        <v>1</v>
      </c>
      <c r="BC62" t="e">
        <f>'1.Лок.смета.и.Акт'!#REF!</f>
        <v>#REF!</v>
      </c>
      <c r="BD62" t="s">
        <v>6</v>
      </c>
      <c r="BE62" t="s">
        <v>6</v>
      </c>
      <c r="BF62" t="s">
        <v>6</v>
      </c>
      <c r="BG62" t="s">
        <v>6</v>
      </c>
      <c r="BH62">
        <v>3</v>
      </c>
      <c r="BI62">
        <v>1</v>
      </c>
      <c r="BJ62" t="s">
        <v>104</v>
      </c>
      <c r="BM62">
        <v>500001</v>
      </c>
      <c r="BN62">
        <v>0</v>
      </c>
      <c r="BO62" t="s">
        <v>6</v>
      </c>
      <c r="BP62">
        <v>0</v>
      </c>
      <c r="BQ62">
        <v>8</v>
      </c>
      <c r="BR62">
        <v>1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6</v>
      </c>
      <c r="BZ62">
        <v>0</v>
      </c>
      <c r="CA62">
        <v>0</v>
      </c>
      <c r="CB62" t="s">
        <v>6</v>
      </c>
      <c r="CE62">
        <v>0</v>
      </c>
      <c r="CF62">
        <v>0</v>
      </c>
      <c r="CG62">
        <v>0</v>
      </c>
      <c r="CM62">
        <v>0</v>
      </c>
      <c r="CN62" t="s">
        <v>6</v>
      </c>
      <c r="CO62">
        <v>0</v>
      </c>
      <c r="CP62" t="e">
        <f t="shared" si="39"/>
        <v>#REF!</v>
      </c>
      <c r="CQ62" t="e">
        <f>AC62*BC62</f>
        <v>#REF!</v>
      </c>
      <c r="CR62">
        <f>(((ET62)*BB62-(EU62)*BS62)+AE62*BS62)</f>
        <v>0</v>
      </c>
      <c r="CS62">
        <f t="shared" si="42"/>
        <v>0</v>
      </c>
      <c r="CT62">
        <f t="shared" si="43"/>
        <v>0</v>
      </c>
      <c r="CU62">
        <f t="shared" si="44"/>
        <v>0</v>
      </c>
      <c r="CV62">
        <f t="shared" si="45"/>
        <v>0</v>
      </c>
      <c r="CW62">
        <f t="shared" si="46"/>
        <v>0</v>
      </c>
      <c r="CX62">
        <f t="shared" si="47"/>
        <v>0</v>
      </c>
      <c r="CY62">
        <f>0</f>
        <v>0</v>
      </c>
      <c r="CZ62">
        <f>0</f>
        <v>0</v>
      </c>
      <c r="DC62" t="s">
        <v>6</v>
      </c>
      <c r="DD62" t="s">
        <v>6</v>
      </c>
      <c r="DE62" t="s">
        <v>6</v>
      </c>
      <c r="DF62" t="s">
        <v>6</v>
      </c>
      <c r="DG62" t="s">
        <v>6</v>
      </c>
      <c r="DH62" t="s">
        <v>6</v>
      </c>
      <c r="DI62" t="s">
        <v>6</v>
      </c>
      <c r="DJ62" t="s">
        <v>6</v>
      </c>
      <c r="DK62" t="s">
        <v>6</v>
      </c>
      <c r="DL62" t="s">
        <v>6</v>
      </c>
      <c r="DM62" t="s">
        <v>6</v>
      </c>
      <c r="DN62">
        <v>0</v>
      </c>
      <c r="DO62">
        <v>0</v>
      </c>
      <c r="DP62">
        <v>1</v>
      </c>
      <c r="DQ62">
        <v>1</v>
      </c>
      <c r="DU62">
        <v>1007</v>
      </c>
      <c r="DV62" t="s">
        <v>33</v>
      </c>
      <c r="DW62" t="str">
        <f>'2.Лок.смета.и.Акт в ЕР'!D182</f>
        <v>м3</v>
      </c>
      <c r="DX62">
        <v>1</v>
      </c>
      <c r="DZ62" t="s">
        <v>6</v>
      </c>
      <c r="EA62" t="s">
        <v>6</v>
      </c>
      <c r="EB62" t="s">
        <v>6</v>
      </c>
      <c r="EC62" t="s">
        <v>6</v>
      </c>
      <c r="EE62">
        <v>59670228</v>
      </c>
      <c r="EF62">
        <v>8</v>
      </c>
      <c r="EG62" t="s">
        <v>35</v>
      </c>
      <c r="EH62">
        <v>0</v>
      </c>
      <c r="EI62" t="s">
        <v>6</v>
      </c>
      <c r="EJ62">
        <v>1</v>
      </c>
      <c r="EK62">
        <v>500001</v>
      </c>
      <c r="EL62" t="s">
        <v>36</v>
      </c>
      <c r="EM62" t="s">
        <v>37</v>
      </c>
      <c r="EO62" t="s">
        <v>6</v>
      </c>
      <c r="EQ62">
        <v>0</v>
      </c>
      <c r="ER62">
        <v>592.76</v>
      </c>
      <c r="ES62" s="67" t="e">
        <f>'1.Лок.смета.и.Акт'!#REF!</f>
        <v>#REF!</v>
      </c>
      <c r="ET62">
        <v>0</v>
      </c>
      <c r="EU62">
        <v>0</v>
      </c>
      <c r="EV62">
        <v>0</v>
      </c>
      <c r="EW62">
        <v>0</v>
      </c>
      <c r="EX62">
        <v>0</v>
      </c>
      <c r="FQ62">
        <v>0</v>
      </c>
      <c r="FR62">
        <f t="shared" si="16"/>
        <v>0</v>
      </c>
      <c r="FS62">
        <v>0</v>
      </c>
      <c r="FX62">
        <v>0</v>
      </c>
      <c r="FY62">
        <v>0</v>
      </c>
      <c r="GA62" t="s">
        <v>6</v>
      </c>
      <c r="GD62">
        <v>1</v>
      </c>
      <c r="GF62">
        <v>2039656126</v>
      </c>
      <c r="GG62">
        <v>2</v>
      </c>
      <c r="GH62">
        <v>1</v>
      </c>
      <c r="GI62">
        <v>4</v>
      </c>
      <c r="GJ62">
        <v>0</v>
      </c>
      <c r="GK62">
        <v>0</v>
      </c>
      <c r="GL62">
        <f t="shared" si="17"/>
        <v>0</v>
      </c>
      <c r="GM62" t="e">
        <f t="shared" si="48"/>
        <v>#REF!</v>
      </c>
      <c r="GN62" t="e">
        <f t="shared" si="18"/>
        <v>#REF!</v>
      </c>
      <c r="GO62">
        <f t="shared" si="19"/>
        <v>0</v>
      </c>
      <c r="GP62">
        <f t="shared" si="20"/>
        <v>0</v>
      </c>
      <c r="GR62">
        <v>0</v>
      </c>
      <c r="GS62">
        <v>3</v>
      </c>
      <c r="GT62">
        <v>0</v>
      </c>
      <c r="GU62" t="s">
        <v>6</v>
      </c>
      <c r="GV62">
        <f t="shared" si="49"/>
        <v>0</v>
      </c>
      <c r="GW62">
        <v>1</v>
      </c>
      <c r="GX62">
        <f t="shared" si="50"/>
        <v>0</v>
      </c>
      <c r="HA62">
        <v>0</v>
      </c>
      <c r="HB62">
        <v>0</v>
      </c>
      <c r="HC62">
        <f t="shared" si="51"/>
        <v>0</v>
      </c>
      <c r="HE62" t="s">
        <v>6</v>
      </c>
      <c r="HF62" t="s">
        <v>6</v>
      </c>
      <c r="HM62" t="s">
        <v>6</v>
      </c>
      <c r="HN62" t="s">
        <v>6</v>
      </c>
      <c r="HO62" t="s">
        <v>6</v>
      </c>
      <c r="HP62" t="s">
        <v>6</v>
      </c>
      <c r="HQ62" t="s">
        <v>6</v>
      </c>
      <c r="IF62">
        <v>-1</v>
      </c>
      <c r="IK62">
        <v>0</v>
      </c>
    </row>
    <row r="63" spans="1:247" x14ac:dyDescent="0.2">
      <c r="A63">
        <v>18</v>
      </c>
      <c r="B63">
        <v>1</v>
      </c>
      <c r="C63">
        <v>89</v>
      </c>
      <c r="E63" t="s">
        <v>181</v>
      </c>
      <c r="F63" t="str">
        <f>'2.Лок.смета.и.Акт в ЕР'!B183</f>
        <v>04.1.02.05-0006</v>
      </c>
      <c r="G63" t="s">
        <v>103</v>
      </c>
      <c r="H63" t="s">
        <v>33</v>
      </c>
      <c r="I63">
        <f>I57*J63</f>
        <v>2.3650000000000002</v>
      </c>
      <c r="J63" s="211">
        <f>'6.Ведомость_списания'!F92</f>
        <v>3.0320512820512824</v>
      </c>
      <c r="K63">
        <v>3.0320513</v>
      </c>
      <c r="O63" t="e">
        <f t="shared" si="23"/>
        <v>#REF!</v>
      </c>
      <c r="P63" t="e">
        <f t="shared" si="24"/>
        <v>#REF!</v>
      </c>
      <c r="Q63">
        <f t="shared" si="25"/>
        <v>0</v>
      </c>
      <c r="R63">
        <f t="shared" si="26"/>
        <v>0</v>
      </c>
      <c r="S63">
        <f t="shared" si="27"/>
        <v>0</v>
      </c>
      <c r="T63">
        <f t="shared" si="28"/>
        <v>0</v>
      </c>
      <c r="U63">
        <f t="shared" si="29"/>
        <v>0</v>
      </c>
      <c r="V63">
        <f t="shared" si="30"/>
        <v>0</v>
      </c>
      <c r="W63">
        <f t="shared" si="31"/>
        <v>0</v>
      </c>
      <c r="X63">
        <f t="shared" si="32"/>
        <v>0</v>
      </c>
      <c r="Y63">
        <f t="shared" si="33"/>
        <v>0</v>
      </c>
      <c r="AA63">
        <v>67643165</v>
      </c>
      <c r="AB63" t="e">
        <f t="shared" si="34"/>
        <v>#REF!</v>
      </c>
      <c r="AC63" t="e">
        <f t="shared" si="35"/>
        <v>#REF!</v>
      </c>
      <c r="AD63">
        <f t="shared" si="36"/>
        <v>0</v>
      </c>
      <c r="AE63">
        <f t="shared" si="52"/>
        <v>0</v>
      </c>
      <c r="AF63">
        <f t="shared" si="54"/>
        <v>0</v>
      </c>
      <c r="AG63">
        <f t="shared" si="37"/>
        <v>0</v>
      </c>
      <c r="AH63">
        <f t="shared" si="55"/>
        <v>0</v>
      </c>
      <c r="AI63">
        <f t="shared" si="53"/>
        <v>0</v>
      </c>
      <c r="AJ63">
        <f t="shared" si="38"/>
        <v>0</v>
      </c>
      <c r="AK63">
        <v>592.76</v>
      </c>
      <c r="AL63" s="67" t="e">
        <f>'1.Лок.смета.и.Акт'!#REF!</f>
        <v>#REF!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1</v>
      </c>
      <c r="AZ63">
        <v>1</v>
      </c>
      <c r="BA63">
        <v>1</v>
      </c>
      <c r="BB63">
        <v>1</v>
      </c>
      <c r="BC63" t="e">
        <f>'1.Лок.смета.и.Акт'!#REF!</f>
        <v>#REF!</v>
      </c>
      <c r="BD63" t="s">
        <v>6</v>
      </c>
      <c r="BE63" t="s">
        <v>6</v>
      </c>
      <c r="BF63" t="s">
        <v>6</v>
      </c>
      <c r="BG63" t="s">
        <v>6</v>
      </c>
      <c r="BH63">
        <v>3</v>
      </c>
      <c r="BI63">
        <v>1</v>
      </c>
      <c r="BJ63" t="s">
        <v>104</v>
      </c>
      <c r="BM63">
        <v>500001</v>
      </c>
      <c r="BN63">
        <v>0</v>
      </c>
      <c r="BO63" t="s">
        <v>6</v>
      </c>
      <c r="BP63">
        <v>0</v>
      </c>
      <c r="BQ63">
        <v>8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6</v>
      </c>
      <c r="BZ63">
        <v>0</v>
      </c>
      <c r="CA63">
        <v>0</v>
      </c>
      <c r="CB63" t="s">
        <v>6</v>
      </c>
      <c r="CE63">
        <v>0</v>
      </c>
      <c r="CF63">
        <v>0</v>
      </c>
      <c r="CG63">
        <v>0</v>
      </c>
      <c r="CM63">
        <v>0</v>
      </c>
      <c r="CN63" t="s">
        <v>6</v>
      </c>
      <c r="CO63">
        <v>0</v>
      </c>
      <c r="CP63" t="e">
        <f t="shared" si="39"/>
        <v>#REF!</v>
      </c>
      <c r="CQ63" t="e">
        <f>AC63*BC63</f>
        <v>#REF!</v>
      </c>
      <c r="CR63">
        <f>(((ET63)*BB63-(EU63)*BS63)+AE63*BS63)</f>
        <v>0</v>
      </c>
      <c r="CS63">
        <f t="shared" si="42"/>
        <v>0</v>
      </c>
      <c r="CT63">
        <f t="shared" si="43"/>
        <v>0</v>
      </c>
      <c r="CU63">
        <f t="shared" si="44"/>
        <v>0</v>
      </c>
      <c r="CV63">
        <f t="shared" si="45"/>
        <v>0</v>
      </c>
      <c r="CW63">
        <f t="shared" si="46"/>
        <v>0</v>
      </c>
      <c r="CX63">
        <f t="shared" si="47"/>
        <v>0</v>
      </c>
      <c r="CY63">
        <f>0</f>
        <v>0</v>
      </c>
      <c r="CZ63">
        <f>0</f>
        <v>0</v>
      </c>
      <c r="DC63" t="s">
        <v>6</v>
      </c>
      <c r="DD63" t="s">
        <v>6</v>
      </c>
      <c r="DE63" t="s">
        <v>6</v>
      </c>
      <c r="DF63" t="s">
        <v>6</v>
      </c>
      <c r="DG63" t="s">
        <v>6</v>
      </c>
      <c r="DH63" t="s">
        <v>6</v>
      </c>
      <c r="DI63" t="s">
        <v>6</v>
      </c>
      <c r="DJ63" t="s">
        <v>6</v>
      </c>
      <c r="DK63" t="s">
        <v>6</v>
      </c>
      <c r="DL63" t="s">
        <v>6</v>
      </c>
      <c r="DM63" t="s">
        <v>6</v>
      </c>
      <c r="DN63">
        <v>0</v>
      </c>
      <c r="DO63">
        <v>0</v>
      </c>
      <c r="DP63">
        <v>1</v>
      </c>
      <c r="DQ63">
        <v>1</v>
      </c>
      <c r="DU63">
        <v>1007</v>
      </c>
      <c r="DV63" t="s">
        <v>33</v>
      </c>
      <c r="DW63" t="str">
        <f>'2.Лок.смета.и.Акт в ЕР'!D183</f>
        <v>м3</v>
      </c>
      <c r="DX63">
        <v>1</v>
      </c>
      <c r="DZ63" t="s">
        <v>6</v>
      </c>
      <c r="EA63" t="s">
        <v>6</v>
      </c>
      <c r="EB63" t="s">
        <v>6</v>
      </c>
      <c r="EC63" t="s">
        <v>6</v>
      </c>
      <c r="EE63">
        <v>59670228</v>
      </c>
      <c r="EF63">
        <v>8</v>
      </c>
      <c r="EG63" t="s">
        <v>35</v>
      </c>
      <c r="EH63">
        <v>0</v>
      </c>
      <c r="EI63" t="s">
        <v>6</v>
      </c>
      <c r="EJ63">
        <v>1</v>
      </c>
      <c r="EK63">
        <v>500001</v>
      </c>
      <c r="EL63" t="s">
        <v>36</v>
      </c>
      <c r="EM63" t="s">
        <v>37</v>
      </c>
      <c r="EO63" t="s">
        <v>6</v>
      </c>
      <c r="EQ63">
        <v>0</v>
      </c>
      <c r="ER63">
        <v>592.76</v>
      </c>
      <c r="ES63" s="67" t="e">
        <f>'1.Лок.смета.и.Акт'!#REF!</f>
        <v>#REF!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16"/>
        <v>0</v>
      </c>
      <c r="FS63">
        <v>0</v>
      </c>
      <c r="FX63">
        <v>0</v>
      </c>
      <c r="FY63">
        <v>0</v>
      </c>
      <c r="GA63" t="s">
        <v>6</v>
      </c>
      <c r="GD63">
        <v>1</v>
      </c>
      <c r="GF63">
        <v>2039656126</v>
      </c>
      <c r="GG63">
        <v>2</v>
      </c>
      <c r="GH63">
        <v>1</v>
      </c>
      <c r="GI63">
        <v>4</v>
      </c>
      <c r="GJ63">
        <v>0</v>
      </c>
      <c r="GK63">
        <v>0</v>
      </c>
      <c r="GL63">
        <f t="shared" si="17"/>
        <v>0</v>
      </c>
      <c r="GM63" t="e">
        <f t="shared" si="48"/>
        <v>#REF!</v>
      </c>
      <c r="GN63" t="e">
        <f t="shared" si="18"/>
        <v>#REF!</v>
      </c>
      <c r="GO63">
        <f t="shared" si="19"/>
        <v>0</v>
      </c>
      <c r="GP63">
        <f t="shared" si="20"/>
        <v>0</v>
      </c>
      <c r="GR63">
        <v>0</v>
      </c>
      <c r="GS63">
        <v>3</v>
      </c>
      <c r="GT63">
        <v>0</v>
      </c>
      <c r="GU63" t="s">
        <v>6</v>
      </c>
      <c r="GV63">
        <f t="shared" si="49"/>
        <v>0</v>
      </c>
      <c r="GW63">
        <v>1</v>
      </c>
      <c r="GX63">
        <f t="shared" si="50"/>
        <v>0</v>
      </c>
      <c r="HA63">
        <v>0</v>
      </c>
      <c r="HB63">
        <v>0</v>
      </c>
      <c r="HC63">
        <f t="shared" si="51"/>
        <v>0</v>
      </c>
      <c r="HE63" t="s">
        <v>6</v>
      </c>
      <c r="HF63" t="s">
        <v>6</v>
      </c>
      <c r="HM63" t="s">
        <v>6</v>
      </c>
      <c r="HN63" t="s">
        <v>6</v>
      </c>
      <c r="HO63" t="s">
        <v>6</v>
      </c>
      <c r="HP63" t="s">
        <v>6</v>
      </c>
      <c r="HQ63" t="s">
        <v>6</v>
      </c>
      <c r="IF63">
        <v>-1</v>
      </c>
      <c r="IK63">
        <v>0</v>
      </c>
    </row>
    <row r="64" spans="1:247" x14ac:dyDescent="0.2">
      <c r="A64">
        <v>17</v>
      </c>
      <c r="B64">
        <v>1</v>
      </c>
      <c r="C64">
        <f>ROW(SmtRes!A112)</f>
        <v>112</v>
      </c>
      <c r="D64">
        <f>ROW(EtalonRes!A100)</f>
        <v>100</v>
      </c>
      <c r="E64" t="s">
        <v>182</v>
      </c>
      <c r="F64" t="s">
        <v>183</v>
      </c>
      <c r="G64" t="s">
        <v>184</v>
      </c>
      <c r="H64" t="s">
        <v>99</v>
      </c>
      <c r="I64">
        <f>'2.Лок.смета.и.Акт в ЕР'!E187</f>
        <v>1</v>
      </c>
      <c r="J64">
        <v>0</v>
      </c>
      <c r="K64">
        <v>1</v>
      </c>
      <c r="O64" t="e">
        <f t="shared" si="23"/>
        <v>#REF!</v>
      </c>
      <c r="P64" t="e">
        <f t="shared" si="24"/>
        <v>#REF!</v>
      </c>
      <c r="Q64" t="e">
        <f t="shared" si="25"/>
        <v>#REF!</v>
      </c>
      <c r="R64" t="e">
        <f t="shared" si="26"/>
        <v>#REF!</v>
      </c>
      <c r="S64" t="e">
        <f t="shared" si="27"/>
        <v>#REF!</v>
      </c>
      <c r="T64">
        <f t="shared" si="28"/>
        <v>0</v>
      </c>
      <c r="U64">
        <f t="shared" si="29"/>
        <v>19.7</v>
      </c>
      <c r="V64">
        <f t="shared" si="30"/>
        <v>0.85</v>
      </c>
      <c r="W64">
        <f t="shared" si="31"/>
        <v>0</v>
      </c>
      <c r="X64" t="e">
        <f t="shared" si="32"/>
        <v>#REF!</v>
      </c>
      <c r="Y64" t="e">
        <f t="shared" si="33"/>
        <v>#REF!</v>
      </c>
      <c r="AA64">
        <v>67643165</v>
      </c>
      <c r="AB64" t="e">
        <f t="shared" si="34"/>
        <v>#REF!</v>
      </c>
      <c r="AC64" t="e">
        <f t="shared" si="35"/>
        <v>#REF!</v>
      </c>
      <c r="AD64" t="e">
        <f t="shared" si="36"/>
        <v>#REF!</v>
      </c>
      <c r="AE64" t="e">
        <f t="shared" si="52"/>
        <v>#REF!</v>
      </c>
      <c r="AF64" t="e">
        <f t="shared" si="54"/>
        <v>#REF!</v>
      </c>
      <c r="AG64">
        <f t="shared" si="37"/>
        <v>0</v>
      </c>
      <c r="AH64">
        <f t="shared" si="55"/>
        <v>19.7</v>
      </c>
      <c r="AI64">
        <f t="shared" si="53"/>
        <v>0.85</v>
      </c>
      <c r="AJ64">
        <f t="shared" si="38"/>
        <v>0</v>
      </c>
      <c r="AK64" t="e">
        <f>AL64+AM64+AO64</f>
        <v>#REF!</v>
      </c>
      <c r="AL64" s="67" t="e">
        <f>'1.Лок.смета.и.Акт'!#REF!</f>
        <v>#REF!</v>
      </c>
      <c r="AM64" s="67" t="e">
        <f>'1.Лок.смета.и.Акт'!#REF!</f>
        <v>#REF!</v>
      </c>
      <c r="AN64" s="67" t="e">
        <f>'1.Лок.смета.и.Акт'!#REF!</f>
        <v>#REF!</v>
      </c>
      <c r="AO64" s="67" t="e">
        <f>'1.Лок.смета.и.Акт'!#REF!</f>
        <v>#REF!</v>
      </c>
      <c r="AP64">
        <v>0</v>
      </c>
      <c r="AQ64">
        <f>'2.Лок.смета.и.Акт в ЕР'!E194</f>
        <v>19.7</v>
      </c>
      <c r="AR64">
        <v>0.85</v>
      </c>
      <c r="AS64">
        <v>0</v>
      </c>
      <c r="AT64">
        <v>92</v>
      </c>
      <c r="AU64">
        <v>49</v>
      </c>
      <c r="AV64">
        <v>1</v>
      </c>
      <c r="AW64">
        <v>1</v>
      </c>
      <c r="AZ64">
        <v>1</v>
      </c>
      <c r="BA64" t="e">
        <f>'1.Лок.смета.и.Акт'!#REF!</f>
        <v>#REF!</v>
      </c>
      <c r="BB64" t="e">
        <f>'1.Лок.смета.и.Акт'!#REF!</f>
        <v>#REF!</v>
      </c>
      <c r="BC64" t="e">
        <f>'1.Лок.смета.и.Акт'!#REF!</f>
        <v>#REF!</v>
      </c>
      <c r="BD64" t="s">
        <v>6</v>
      </c>
      <c r="BE64" t="s">
        <v>6</v>
      </c>
      <c r="BF64" t="s">
        <v>6</v>
      </c>
      <c r="BG64" t="s">
        <v>6</v>
      </c>
      <c r="BH64">
        <v>0</v>
      </c>
      <c r="BI64">
        <v>2</v>
      </c>
      <c r="BJ64" t="s">
        <v>185</v>
      </c>
      <c r="BM64">
        <v>137001</v>
      </c>
      <c r="BN64">
        <v>0</v>
      </c>
      <c r="BO64" t="s">
        <v>6</v>
      </c>
      <c r="BP64">
        <v>0</v>
      </c>
      <c r="BQ64">
        <v>3</v>
      </c>
      <c r="BR64">
        <v>0</v>
      </c>
      <c r="BS64" t="e">
        <f>'1.Лок.смета.и.Акт'!#REF!</f>
        <v>#REF!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6</v>
      </c>
      <c r="BZ64">
        <v>92</v>
      </c>
      <c r="CA64">
        <v>49</v>
      </c>
      <c r="CB64" t="s">
        <v>6</v>
      </c>
      <c r="CE64">
        <v>0</v>
      </c>
      <c r="CF64">
        <v>0</v>
      </c>
      <c r="CG64">
        <v>0</v>
      </c>
      <c r="CM64">
        <v>0</v>
      </c>
      <c r="CN64" t="s">
        <v>6</v>
      </c>
      <c r="CO64">
        <v>0</v>
      </c>
      <c r="CP64" t="e">
        <f t="shared" si="39"/>
        <v>#REF!</v>
      </c>
      <c r="CQ64" t="e">
        <f>AC64*BC64</f>
        <v>#REF!</v>
      </c>
      <c r="CR64" t="e">
        <f>(((ET64)*BB64-(EU64)*BS64)+AE64*BS64)</f>
        <v>#REF!</v>
      </c>
      <c r="CS64" t="e">
        <f t="shared" si="42"/>
        <v>#REF!</v>
      </c>
      <c r="CT64" t="e">
        <f t="shared" si="43"/>
        <v>#REF!</v>
      </c>
      <c r="CU64">
        <f t="shared" si="44"/>
        <v>0</v>
      </c>
      <c r="CV64">
        <f t="shared" si="45"/>
        <v>19.7</v>
      </c>
      <c r="CW64">
        <f t="shared" si="46"/>
        <v>0.85</v>
      </c>
      <c r="CX64">
        <f t="shared" si="47"/>
        <v>0</v>
      </c>
      <c r="CY64" t="e">
        <f>(((S64+R64)*AT64)/100)</f>
        <v>#REF!</v>
      </c>
      <c r="CZ64" t="e">
        <f>(((S64+R64)*AU64)/100)</f>
        <v>#REF!</v>
      </c>
      <c r="DC64" t="s">
        <v>6</v>
      </c>
      <c r="DD64" t="s">
        <v>6</v>
      </c>
      <c r="DE64" t="s">
        <v>6</v>
      </c>
      <c r="DF64" t="s">
        <v>6</v>
      </c>
      <c r="DG64" t="s">
        <v>6</v>
      </c>
      <c r="DH64" t="s">
        <v>6</v>
      </c>
      <c r="DI64" t="s">
        <v>6</v>
      </c>
      <c r="DJ64" t="s">
        <v>6</v>
      </c>
      <c r="DK64" t="s">
        <v>6</v>
      </c>
      <c r="DL64" t="s">
        <v>6</v>
      </c>
      <c r="DM64" t="s">
        <v>6</v>
      </c>
      <c r="DN64">
        <v>0</v>
      </c>
      <c r="DO64">
        <v>0</v>
      </c>
      <c r="DP64">
        <v>1</v>
      </c>
      <c r="DQ64">
        <v>1</v>
      </c>
      <c r="DU64">
        <v>1013</v>
      </c>
      <c r="DV64" t="s">
        <v>99</v>
      </c>
      <c r="DW64" t="str">
        <f>'2.Лок.смета.и.Акт в ЕР'!D187</f>
        <v>ШТ</v>
      </c>
      <c r="DX64">
        <v>1</v>
      </c>
      <c r="DZ64" t="s">
        <v>6</v>
      </c>
      <c r="EA64" t="s">
        <v>6</v>
      </c>
      <c r="EB64" t="s">
        <v>6</v>
      </c>
      <c r="EC64" t="s">
        <v>6</v>
      </c>
      <c r="EE64">
        <v>59670205</v>
      </c>
      <c r="EF64">
        <v>3</v>
      </c>
      <c r="EG64" t="s">
        <v>186</v>
      </c>
      <c r="EH64">
        <v>79</v>
      </c>
      <c r="EI64" t="s">
        <v>187</v>
      </c>
      <c r="EJ64">
        <v>2</v>
      </c>
      <c r="EK64">
        <v>137001</v>
      </c>
      <c r="EL64" t="s">
        <v>187</v>
      </c>
      <c r="EM64" t="s">
        <v>188</v>
      </c>
      <c r="EO64" t="s">
        <v>6</v>
      </c>
      <c r="EQ64">
        <v>0</v>
      </c>
      <c r="ER64" t="e">
        <f>ES64+ET64+EV64</f>
        <v>#REF!</v>
      </c>
      <c r="ES64" s="67" t="e">
        <f>'1.Лок.смета.и.Акт'!#REF!</f>
        <v>#REF!</v>
      </c>
      <c r="ET64" s="67" t="e">
        <f>'1.Лок.смета.и.Акт'!#REF!</f>
        <v>#REF!</v>
      </c>
      <c r="EU64" s="67" t="e">
        <f>'1.Лок.смета.и.Акт'!#REF!</f>
        <v>#REF!</v>
      </c>
      <c r="EV64" s="67" t="e">
        <f>'1.Лок.смета.и.Акт'!#REF!</f>
        <v>#REF!</v>
      </c>
      <c r="EW64">
        <f>'2.Лок.смета.и.Акт в ЕР'!E194</f>
        <v>19.7</v>
      </c>
      <c r="EX64">
        <v>0.85</v>
      </c>
      <c r="EY64">
        <v>0</v>
      </c>
      <c r="FQ64">
        <v>0</v>
      </c>
      <c r="FR64">
        <f t="shared" si="16"/>
        <v>0</v>
      </c>
      <c r="FS64">
        <v>0</v>
      </c>
      <c r="FX64">
        <v>92</v>
      </c>
      <c r="FY64">
        <v>49</v>
      </c>
      <c r="GA64" t="s">
        <v>6</v>
      </c>
      <c r="GD64">
        <v>1</v>
      </c>
      <c r="GF64">
        <v>-438340036</v>
      </c>
      <c r="GG64">
        <v>2</v>
      </c>
      <c r="GH64">
        <v>1</v>
      </c>
      <c r="GI64">
        <v>4</v>
      </c>
      <c r="GJ64">
        <v>0</v>
      </c>
      <c r="GK64">
        <v>0</v>
      </c>
      <c r="GL64">
        <f t="shared" si="17"/>
        <v>0</v>
      </c>
      <c r="GM64" t="e">
        <f t="shared" si="48"/>
        <v>#REF!</v>
      </c>
      <c r="GN64">
        <f t="shared" si="18"/>
        <v>0</v>
      </c>
      <c r="GO64" t="e">
        <f t="shared" si="19"/>
        <v>#REF!</v>
      </c>
      <c r="GP64">
        <f t="shared" si="20"/>
        <v>0</v>
      </c>
      <c r="GR64">
        <v>0</v>
      </c>
      <c r="GS64">
        <v>3</v>
      </c>
      <c r="GT64">
        <v>0</v>
      </c>
      <c r="GU64" t="s">
        <v>6</v>
      </c>
      <c r="GV64">
        <f t="shared" si="49"/>
        <v>0</v>
      </c>
      <c r="GW64">
        <v>1</v>
      </c>
      <c r="GX64">
        <f t="shared" si="50"/>
        <v>0</v>
      </c>
      <c r="HA64">
        <v>0</v>
      </c>
      <c r="HB64">
        <v>0</v>
      </c>
      <c r="HC64">
        <f t="shared" si="51"/>
        <v>0</v>
      </c>
      <c r="HE64" t="s">
        <v>6</v>
      </c>
      <c r="HF64" t="s">
        <v>6</v>
      </c>
      <c r="HM64" t="s">
        <v>6</v>
      </c>
      <c r="HN64" t="s">
        <v>189</v>
      </c>
      <c r="HO64" t="s">
        <v>190</v>
      </c>
      <c r="HP64" t="s">
        <v>187</v>
      </c>
      <c r="HQ64" t="s">
        <v>187</v>
      </c>
      <c r="IF64">
        <v>-1</v>
      </c>
      <c r="IK64">
        <v>0</v>
      </c>
    </row>
    <row r="65" spans="1:247" x14ac:dyDescent="0.2">
      <c r="A65">
        <v>18</v>
      </c>
      <c r="B65">
        <v>1</v>
      </c>
      <c r="C65">
        <v>112</v>
      </c>
      <c r="E65" t="s">
        <v>191</v>
      </c>
      <c r="F65" t="str">
        <f>'2.Лок.смета.и.Акт в ЕР'!B195</f>
        <v>Прайс</v>
      </c>
      <c r="G65" t="s">
        <v>192</v>
      </c>
      <c r="H65" t="s">
        <v>193</v>
      </c>
      <c r="I65">
        <f>I64*J65</f>
        <v>1</v>
      </c>
      <c r="J65" s="211">
        <f>'6.Ведомость_списания'!F101</f>
        <v>1</v>
      </c>
      <c r="K65">
        <v>1</v>
      </c>
      <c r="O65" t="e">
        <f t="shared" si="23"/>
        <v>#REF!</v>
      </c>
      <c r="P65" t="e">
        <f t="shared" si="24"/>
        <v>#REF!</v>
      </c>
      <c r="Q65">
        <f t="shared" si="25"/>
        <v>0</v>
      </c>
      <c r="R65">
        <f t="shared" si="26"/>
        <v>0</v>
      </c>
      <c r="S65">
        <f t="shared" si="27"/>
        <v>0</v>
      </c>
      <c r="T65">
        <f t="shared" si="28"/>
        <v>0</v>
      </c>
      <c r="U65">
        <f t="shared" si="29"/>
        <v>0</v>
      </c>
      <c r="V65">
        <f t="shared" si="30"/>
        <v>0</v>
      </c>
      <c r="W65">
        <f t="shared" si="31"/>
        <v>0</v>
      </c>
      <c r="X65">
        <f t="shared" si="32"/>
        <v>0</v>
      </c>
      <c r="Y65">
        <f t="shared" si="33"/>
        <v>0</v>
      </c>
      <c r="AA65">
        <v>67643165</v>
      </c>
      <c r="AB65" t="e">
        <f t="shared" si="34"/>
        <v>#REF!</v>
      </c>
      <c r="AC65" t="e">
        <f t="shared" si="35"/>
        <v>#REF!</v>
      </c>
      <c r="AD65">
        <f t="shared" si="36"/>
        <v>0</v>
      </c>
      <c r="AE65">
        <f t="shared" si="52"/>
        <v>0</v>
      </c>
      <c r="AF65">
        <f t="shared" si="54"/>
        <v>0</v>
      </c>
      <c r="AG65">
        <f t="shared" si="37"/>
        <v>0</v>
      </c>
      <c r="AH65">
        <f t="shared" si="55"/>
        <v>0</v>
      </c>
      <c r="AI65">
        <f t="shared" si="53"/>
        <v>0</v>
      </c>
      <c r="AJ65">
        <f t="shared" si="38"/>
        <v>0</v>
      </c>
      <c r="AK65">
        <v>103353.20999999999</v>
      </c>
      <c r="AL65" s="67" t="e">
        <f>'1.Лок.смета.и.Акт'!#REF!</f>
        <v>#REF!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125</v>
      </c>
      <c r="AU65">
        <v>65</v>
      </c>
      <c r="AV65">
        <v>1</v>
      </c>
      <c r="AW65">
        <v>1</v>
      </c>
      <c r="AZ65">
        <v>1</v>
      </c>
      <c r="BA65">
        <v>1</v>
      </c>
      <c r="BB65">
        <v>1</v>
      </c>
      <c r="BC65" t="e">
        <f>'1.Лок.смета.и.Акт'!#REF!</f>
        <v>#REF!</v>
      </c>
      <c r="BD65" t="s">
        <v>6</v>
      </c>
      <c r="BE65" t="s">
        <v>6</v>
      </c>
      <c r="BF65" t="s">
        <v>6</v>
      </c>
      <c r="BG65" t="s">
        <v>6</v>
      </c>
      <c r="BH65">
        <v>3</v>
      </c>
      <c r="BI65">
        <v>4</v>
      </c>
      <c r="BJ65" t="s">
        <v>6</v>
      </c>
      <c r="BM65">
        <v>0</v>
      </c>
      <c r="BN65">
        <v>0</v>
      </c>
      <c r="BO65" t="s">
        <v>6</v>
      </c>
      <c r="BP65">
        <v>0</v>
      </c>
      <c r="BQ65">
        <v>16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6</v>
      </c>
      <c r="BZ65">
        <v>125</v>
      </c>
      <c r="CA65">
        <v>65</v>
      </c>
      <c r="CB65" t="s">
        <v>6</v>
      </c>
      <c r="CE65">
        <v>0</v>
      </c>
      <c r="CF65">
        <v>0</v>
      </c>
      <c r="CG65">
        <v>0</v>
      </c>
      <c r="CM65">
        <v>0</v>
      </c>
      <c r="CN65" t="s">
        <v>6</v>
      </c>
      <c r="CO65">
        <v>0</v>
      </c>
      <c r="CP65" t="e">
        <f t="shared" si="39"/>
        <v>#REF!</v>
      </c>
      <c r="CQ65" t="e">
        <f>AC65</f>
        <v>#REF!</v>
      </c>
      <c r="CR65">
        <f>(((ET65)-(EU65)*BS65)+AE65*BS65)</f>
        <v>0</v>
      </c>
      <c r="CS65">
        <f t="shared" si="42"/>
        <v>0</v>
      </c>
      <c r="CT65">
        <f t="shared" si="43"/>
        <v>0</v>
      </c>
      <c r="CU65">
        <f t="shared" si="44"/>
        <v>0</v>
      </c>
      <c r="CV65">
        <f t="shared" si="45"/>
        <v>0</v>
      </c>
      <c r="CW65">
        <f t="shared" si="46"/>
        <v>0</v>
      </c>
      <c r="CX65">
        <f t="shared" si="47"/>
        <v>0</v>
      </c>
      <c r="CY65">
        <f>(((S65+R65)*AT65)/100)</f>
        <v>0</v>
      </c>
      <c r="CZ65">
        <f>(((S65+R65)*AU65)/100)</f>
        <v>0</v>
      </c>
      <c r="DC65" t="s">
        <v>6</v>
      </c>
      <c r="DD65" t="s">
        <v>6</v>
      </c>
      <c r="DE65" t="s">
        <v>6</v>
      </c>
      <c r="DF65" t="s">
        <v>6</v>
      </c>
      <c r="DG65" t="s">
        <v>6</v>
      </c>
      <c r="DH65" t="s">
        <v>6</v>
      </c>
      <c r="DI65" t="s">
        <v>6</v>
      </c>
      <c r="DJ65" t="s">
        <v>6</v>
      </c>
      <c r="DK65" t="s">
        <v>6</v>
      </c>
      <c r="DL65" t="s">
        <v>6</v>
      </c>
      <c r="DM65" t="s">
        <v>6</v>
      </c>
      <c r="DN65">
        <v>0</v>
      </c>
      <c r="DO65">
        <v>0</v>
      </c>
      <c r="DP65">
        <v>1</v>
      </c>
      <c r="DQ65">
        <v>1</v>
      </c>
      <c r="DU65">
        <v>1010</v>
      </c>
      <c r="DV65" t="s">
        <v>193</v>
      </c>
      <c r="DW65" t="str">
        <f>'2.Лок.смета.и.Акт в ЕР'!D195</f>
        <v>шт.</v>
      </c>
      <c r="DX65">
        <v>1</v>
      </c>
      <c r="DZ65" t="s">
        <v>6</v>
      </c>
      <c r="EA65" t="s">
        <v>6</v>
      </c>
      <c r="EB65" t="s">
        <v>6</v>
      </c>
      <c r="EC65" t="s">
        <v>6</v>
      </c>
      <c r="EE65">
        <v>59670236</v>
      </c>
      <c r="EF65">
        <v>16</v>
      </c>
      <c r="EG65" t="s">
        <v>87</v>
      </c>
      <c r="EH65">
        <v>0</v>
      </c>
      <c r="EI65" t="s">
        <v>6</v>
      </c>
      <c r="EJ65">
        <v>4</v>
      </c>
      <c r="EK65">
        <v>0</v>
      </c>
      <c r="EL65" t="s">
        <v>88</v>
      </c>
      <c r="EM65" t="s">
        <v>89</v>
      </c>
      <c r="EO65" t="s">
        <v>6</v>
      </c>
      <c r="EQ65">
        <v>0</v>
      </c>
      <c r="ER65">
        <v>103353.20999999999</v>
      </c>
      <c r="ES65" s="67" t="e">
        <f>'1.Лок.смета.и.Акт'!#REF!</f>
        <v>#REF!</v>
      </c>
      <c r="ET65">
        <v>0</v>
      </c>
      <c r="EU65">
        <v>0</v>
      </c>
      <c r="EV65">
        <v>0</v>
      </c>
      <c r="EW65">
        <v>0</v>
      </c>
      <c r="EX65">
        <v>0</v>
      </c>
      <c r="EZ65">
        <v>5</v>
      </c>
      <c r="FC65">
        <v>0</v>
      </c>
      <c r="FD65">
        <v>18</v>
      </c>
      <c r="FF65">
        <v>98280</v>
      </c>
      <c r="FQ65">
        <v>0</v>
      </c>
      <c r="FR65">
        <f t="shared" si="16"/>
        <v>0</v>
      </c>
      <c r="FS65">
        <v>0</v>
      </c>
      <c r="FX65">
        <v>125</v>
      </c>
      <c r="FY65">
        <v>65</v>
      </c>
      <c r="GA65" t="s">
        <v>194</v>
      </c>
      <c r="GD65">
        <v>1</v>
      </c>
      <c r="GF65">
        <v>1220972358</v>
      </c>
      <c r="GG65">
        <v>2</v>
      </c>
      <c r="GH65">
        <v>3</v>
      </c>
      <c r="GI65">
        <v>4</v>
      </c>
      <c r="GJ65">
        <v>0</v>
      </c>
      <c r="GK65">
        <v>0</v>
      </c>
      <c r="GL65">
        <f t="shared" si="17"/>
        <v>0</v>
      </c>
      <c r="GM65" t="e">
        <f t="shared" si="48"/>
        <v>#REF!</v>
      </c>
      <c r="GN65">
        <f t="shared" si="18"/>
        <v>0</v>
      </c>
      <c r="GO65">
        <f t="shared" si="19"/>
        <v>0</v>
      </c>
      <c r="GP65" t="e">
        <f t="shared" si="20"/>
        <v>#REF!</v>
      </c>
      <c r="GR65">
        <v>1</v>
      </c>
      <c r="GS65">
        <v>1</v>
      </c>
      <c r="GT65">
        <v>0</v>
      </c>
      <c r="GU65" t="s">
        <v>6</v>
      </c>
      <c r="GV65">
        <f t="shared" si="49"/>
        <v>0</v>
      </c>
      <c r="GW65">
        <v>1</v>
      </c>
      <c r="GX65">
        <f t="shared" si="50"/>
        <v>0</v>
      </c>
      <c r="HA65">
        <v>0</v>
      </c>
      <c r="HB65">
        <v>0</v>
      </c>
      <c r="HC65">
        <f t="shared" si="51"/>
        <v>0</v>
      </c>
      <c r="HE65" t="s">
        <v>136</v>
      </c>
      <c r="HF65" t="s">
        <v>38</v>
      </c>
      <c r="HG65" t="e">
        <f>ROUND(AC65*I65,2)</f>
        <v>#REF!</v>
      </c>
      <c r="HM65" t="s">
        <v>6</v>
      </c>
      <c r="HN65" t="s">
        <v>6</v>
      </c>
      <c r="HO65" t="s">
        <v>6</v>
      </c>
      <c r="HP65" t="s">
        <v>6</v>
      </c>
      <c r="HQ65" t="s">
        <v>6</v>
      </c>
      <c r="IF65">
        <v>-1</v>
      </c>
      <c r="IK65">
        <v>0</v>
      </c>
    </row>
    <row r="66" spans="1:247" x14ac:dyDescent="0.2">
      <c r="A66">
        <v>17</v>
      </c>
      <c r="B66">
        <v>1</v>
      </c>
      <c r="C66">
        <f>ROW(SmtRes!A114)</f>
        <v>114</v>
      </c>
      <c r="D66">
        <f>ROW(EtalonRes!A102)</f>
        <v>102</v>
      </c>
      <c r="E66" t="s">
        <v>195</v>
      </c>
      <c r="F66" t="s">
        <v>196</v>
      </c>
      <c r="G66" t="s">
        <v>197</v>
      </c>
      <c r="H66" t="s">
        <v>198</v>
      </c>
      <c r="I66">
        <f>'2.Лок.смета.и.Акт в ЕР'!E200</f>
        <v>0.442</v>
      </c>
      <c r="J66">
        <v>0</v>
      </c>
      <c r="K66">
        <f>ROUND(442/1000,7)</f>
        <v>0.442</v>
      </c>
      <c r="O66" t="e">
        <f t="shared" si="23"/>
        <v>#REF!</v>
      </c>
      <c r="P66" t="e">
        <f t="shared" si="24"/>
        <v>#REF!</v>
      </c>
      <c r="Q66">
        <f t="shared" si="25"/>
        <v>0</v>
      </c>
      <c r="R66">
        <f t="shared" si="26"/>
        <v>0</v>
      </c>
      <c r="S66" t="e">
        <f t="shared" si="27"/>
        <v>#REF!</v>
      </c>
      <c r="T66">
        <f t="shared" si="28"/>
        <v>0</v>
      </c>
      <c r="U66">
        <f t="shared" si="29"/>
        <v>12.7296</v>
      </c>
      <c r="V66">
        <f t="shared" si="30"/>
        <v>0</v>
      </c>
      <c r="W66">
        <f t="shared" si="31"/>
        <v>0</v>
      </c>
      <c r="X66" t="e">
        <f t="shared" si="32"/>
        <v>#REF!</v>
      </c>
      <c r="Y66" t="e">
        <f t="shared" si="33"/>
        <v>#REF!</v>
      </c>
      <c r="AA66">
        <v>67643165</v>
      </c>
      <c r="AB66" t="e">
        <f t="shared" si="34"/>
        <v>#REF!</v>
      </c>
      <c r="AC66" t="e">
        <f t="shared" si="35"/>
        <v>#REF!</v>
      </c>
      <c r="AD66">
        <f t="shared" si="36"/>
        <v>0</v>
      </c>
      <c r="AE66">
        <f t="shared" si="52"/>
        <v>0</v>
      </c>
      <c r="AF66" t="e">
        <f t="shared" si="54"/>
        <v>#REF!</v>
      </c>
      <c r="AG66">
        <f t="shared" si="37"/>
        <v>0</v>
      </c>
      <c r="AH66">
        <f t="shared" si="55"/>
        <v>28.8</v>
      </c>
      <c r="AI66">
        <f t="shared" si="53"/>
        <v>0</v>
      </c>
      <c r="AJ66">
        <f t="shared" si="38"/>
        <v>0</v>
      </c>
      <c r="AK66" t="e">
        <f>AL66+AM66+AO66</f>
        <v>#REF!</v>
      </c>
      <c r="AL66" s="67" t="e">
        <f>'1.Лок.смета.и.Акт'!#REF!</f>
        <v>#REF!</v>
      </c>
      <c r="AM66">
        <v>0</v>
      </c>
      <c r="AN66">
        <v>0</v>
      </c>
      <c r="AO66" s="67" t="e">
        <f>'1.Лок.смета.и.Акт'!#REF!</f>
        <v>#REF!</v>
      </c>
      <c r="AP66">
        <v>0</v>
      </c>
      <c r="AQ66">
        <f>'2.Лок.смета.и.Акт в ЕР'!E206</f>
        <v>28.8</v>
      </c>
      <c r="AR66">
        <v>0</v>
      </c>
      <c r="AS66">
        <v>0</v>
      </c>
      <c r="AT66">
        <v>117</v>
      </c>
      <c r="AU66">
        <v>74</v>
      </c>
      <c r="AV66">
        <v>1</v>
      </c>
      <c r="AW66">
        <v>1</v>
      </c>
      <c r="AZ66">
        <v>1</v>
      </c>
      <c r="BA66" t="e">
        <f>'1.Лок.смета.и.Акт'!#REF!</f>
        <v>#REF!</v>
      </c>
      <c r="BB66">
        <v>13.26</v>
      </c>
      <c r="BC66" t="e">
        <f>'1.Лок.смета.и.Акт'!#REF!</f>
        <v>#REF!</v>
      </c>
      <c r="BD66" t="s">
        <v>6</v>
      </c>
      <c r="BE66" t="s">
        <v>6</v>
      </c>
      <c r="BF66" t="s">
        <v>6</v>
      </c>
      <c r="BG66" t="s">
        <v>6</v>
      </c>
      <c r="BH66">
        <v>0</v>
      </c>
      <c r="BI66">
        <v>1</v>
      </c>
      <c r="BJ66" t="s">
        <v>199</v>
      </c>
      <c r="BM66">
        <v>22001</v>
      </c>
      <c r="BN66">
        <v>0</v>
      </c>
      <c r="BO66" t="s">
        <v>6</v>
      </c>
      <c r="BP66">
        <v>0</v>
      </c>
      <c r="BQ66">
        <v>2</v>
      </c>
      <c r="BR66">
        <v>0</v>
      </c>
      <c r="BS66">
        <v>33.39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6</v>
      </c>
      <c r="BZ66">
        <v>117</v>
      </c>
      <c r="CA66">
        <v>74</v>
      </c>
      <c r="CB66" t="s">
        <v>6</v>
      </c>
      <c r="CE66">
        <v>0</v>
      </c>
      <c r="CF66">
        <v>0</v>
      </c>
      <c r="CG66">
        <v>0</v>
      </c>
      <c r="CM66">
        <v>0</v>
      </c>
      <c r="CN66" t="s">
        <v>6</v>
      </c>
      <c r="CO66">
        <v>0</v>
      </c>
      <c r="CP66" t="e">
        <f t="shared" si="39"/>
        <v>#REF!</v>
      </c>
      <c r="CQ66" t="e">
        <f t="shared" ref="CQ66:CQ71" si="62">AC66*BC66</f>
        <v>#REF!</v>
      </c>
      <c r="CR66">
        <f t="shared" ref="CR66:CR71" si="63">(((ET66)*BB66-(EU66)*BS66)+AE66*BS66)</f>
        <v>0</v>
      </c>
      <c r="CS66">
        <f t="shared" si="42"/>
        <v>0</v>
      </c>
      <c r="CT66" t="e">
        <f t="shared" si="43"/>
        <v>#REF!</v>
      </c>
      <c r="CU66">
        <f t="shared" si="44"/>
        <v>0</v>
      </c>
      <c r="CV66">
        <f t="shared" si="45"/>
        <v>28.8</v>
      </c>
      <c r="CW66">
        <f t="shared" si="46"/>
        <v>0</v>
      </c>
      <c r="CX66">
        <f t="shared" si="47"/>
        <v>0</v>
      </c>
      <c r="CY66" t="e">
        <f>(((S66+R66)*AT66)/100)</f>
        <v>#REF!</v>
      </c>
      <c r="CZ66" t="e">
        <f>(((S66+R66)*AU66)/100)</f>
        <v>#REF!</v>
      </c>
      <c r="DC66" t="s">
        <v>6</v>
      </c>
      <c r="DD66" t="s">
        <v>6</v>
      </c>
      <c r="DE66" t="s">
        <v>6</v>
      </c>
      <c r="DF66" t="s">
        <v>6</v>
      </c>
      <c r="DG66" t="s">
        <v>6</v>
      </c>
      <c r="DH66" t="s">
        <v>6</v>
      </c>
      <c r="DI66" t="s">
        <v>6</v>
      </c>
      <c r="DJ66" t="s">
        <v>6</v>
      </c>
      <c r="DK66" t="s">
        <v>6</v>
      </c>
      <c r="DL66" t="s">
        <v>6</v>
      </c>
      <c r="DM66" t="s">
        <v>6</v>
      </c>
      <c r="DN66">
        <v>0</v>
      </c>
      <c r="DO66">
        <v>0</v>
      </c>
      <c r="DP66">
        <v>1</v>
      </c>
      <c r="DQ66">
        <v>1</v>
      </c>
      <c r="DU66">
        <v>1003</v>
      </c>
      <c r="DV66" t="s">
        <v>198</v>
      </c>
      <c r="DW66" t="str">
        <f>'2.Лок.смета.и.Акт в ЕР'!D200</f>
        <v>км</v>
      </c>
      <c r="DX66">
        <v>1000</v>
      </c>
      <c r="DZ66" t="s">
        <v>6</v>
      </c>
      <c r="EA66" t="s">
        <v>6</v>
      </c>
      <c r="EB66" t="s">
        <v>6</v>
      </c>
      <c r="EC66" t="s">
        <v>6</v>
      </c>
      <c r="EE66">
        <v>59670357</v>
      </c>
      <c r="EF66">
        <v>2</v>
      </c>
      <c r="EG66" t="s">
        <v>23</v>
      </c>
      <c r="EH66">
        <v>18</v>
      </c>
      <c r="EI66" t="s">
        <v>70</v>
      </c>
      <c r="EJ66">
        <v>1</v>
      </c>
      <c r="EK66">
        <v>22001</v>
      </c>
      <c r="EL66" t="s">
        <v>70</v>
      </c>
      <c r="EM66" t="s">
        <v>200</v>
      </c>
      <c r="EO66" t="s">
        <v>6</v>
      </c>
      <c r="EQ66">
        <v>131072</v>
      </c>
      <c r="ER66" t="e">
        <f>ES66+ET66+EV66</f>
        <v>#REF!</v>
      </c>
      <c r="ES66" s="67" t="e">
        <f>'1.Лок.смета.и.Акт'!#REF!</f>
        <v>#REF!</v>
      </c>
      <c r="ET66">
        <v>0</v>
      </c>
      <c r="EU66">
        <v>0</v>
      </c>
      <c r="EV66" s="67" t="e">
        <f>'1.Лок.смета.и.Акт'!#REF!</f>
        <v>#REF!</v>
      </c>
      <c r="EW66">
        <f>'2.Лок.смета.и.Акт в ЕР'!E206</f>
        <v>28.8</v>
      </c>
      <c r="EX66">
        <v>0</v>
      </c>
      <c r="EY66">
        <v>0</v>
      </c>
      <c r="FQ66">
        <v>0</v>
      </c>
      <c r="FR66">
        <f t="shared" si="16"/>
        <v>0</v>
      </c>
      <c r="FS66">
        <v>0</v>
      </c>
      <c r="FX66">
        <v>117</v>
      </c>
      <c r="FY66">
        <v>74</v>
      </c>
      <c r="GA66" t="s">
        <v>6</v>
      </c>
      <c r="GD66">
        <v>1</v>
      </c>
      <c r="GF66">
        <v>166868122</v>
      </c>
      <c r="GG66">
        <v>2</v>
      </c>
      <c r="GH66">
        <v>1</v>
      </c>
      <c r="GI66">
        <v>4</v>
      </c>
      <c r="GJ66">
        <v>0</v>
      </c>
      <c r="GK66">
        <v>0</v>
      </c>
      <c r="GL66">
        <f t="shared" si="17"/>
        <v>0</v>
      </c>
      <c r="GM66" t="e">
        <f t="shared" si="48"/>
        <v>#REF!</v>
      </c>
      <c r="GN66" t="e">
        <f t="shared" si="18"/>
        <v>#REF!</v>
      </c>
      <c r="GO66">
        <f t="shared" si="19"/>
        <v>0</v>
      </c>
      <c r="GP66">
        <f t="shared" si="20"/>
        <v>0</v>
      </c>
      <c r="GR66">
        <v>0</v>
      </c>
      <c r="GS66">
        <v>3</v>
      </c>
      <c r="GT66">
        <v>0</v>
      </c>
      <c r="GU66" t="s">
        <v>6</v>
      </c>
      <c r="GV66">
        <f t="shared" si="49"/>
        <v>0</v>
      </c>
      <c r="GW66">
        <v>1</v>
      </c>
      <c r="GX66">
        <f t="shared" si="50"/>
        <v>0</v>
      </c>
      <c r="HA66">
        <v>0</v>
      </c>
      <c r="HB66">
        <v>0</v>
      </c>
      <c r="HC66">
        <f t="shared" si="51"/>
        <v>0</v>
      </c>
      <c r="HE66" t="s">
        <v>6</v>
      </c>
      <c r="HF66" t="s">
        <v>6</v>
      </c>
      <c r="HM66" t="s">
        <v>6</v>
      </c>
      <c r="HN66" t="s">
        <v>72</v>
      </c>
      <c r="HO66" t="s">
        <v>73</v>
      </c>
      <c r="HP66" t="s">
        <v>70</v>
      </c>
      <c r="HQ66" t="s">
        <v>70</v>
      </c>
      <c r="IF66">
        <v>-1</v>
      </c>
      <c r="IK66">
        <v>0</v>
      </c>
      <c r="IL66" t="s">
        <v>521</v>
      </c>
      <c r="IM66">
        <v>0.442</v>
      </c>
    </row>
    <row r="67" spans="1:247" x14ac:dyDescent="0.2">
      <c r="A67">
        <v>17</v>
      </c>
      <c r="B67">
        <v>1</v>
      </c>
      <c r="C67">
        <f>ROW(SmtRes!A120)</f>
        <v>120</v>
      </c>
      <c r="D67">
        <f>ROW(EtalonRes!A108)</f>
        <v>108</v>
      </c>
      <c r="E67" t="s">
        <v>201</v>
      </c>
      <c r="F67" t="s">
        <v>202</v>
      </c>
      <c r="G67" t="s">
        <v>203</v>
      </c>
      <c r="H67" t="s">
        <v>99</v>
      </c>
      <c r="I67">
        <v>0</v>
      </c>
      <c r="J67">
        <v>0</v>
      </c>
      <c r="K67">
        <v>0</v>
      </c>
      <c r="O67">
        <f t="shared" si="23"/>
        <v>0</v>
      </c>
      <c r="P67">
        <f t="shared" si="24"/>
        <v>0</v>
      </c>
      <c r="Q67">
        <f t="shared" si="25"/>
        <v>0</v>
      </c>
      <c r="R67">
        <f t="shared" si="26"/>
        <v>0</v>
      </c>
      <c r="S67">
        <f t="shared" si="27"/>
        <v>0</v>
      </c>
      <c r="T67">
        <f t="shared" si="28"/>
        <v>0</v>
      </c>
      <c r="U67">
        <f t="shared" si="29"/>
        <v>0</v>
      </c>
      <c r="V67">
        <f t="shared" si="30"/>
        <v>0</v>
      </c>
      <c r="W67">
        <f t="shared" si="31"/>
        <v>0</v>
      </c>
      <c r="X67">
        <f t="shared" si="32"/>
        <v>0</v>
      </c>
      <c r="Y67">
        <f t="shared" si="33"/>
        <v>0</v>
      </c>
      <c r="AA67">
        <v>67643165</v>
      </c>
      <c r="AB67">
        <f t="shared" si="34"/>
        <v>236.25</v>
      </c>
      <c r="AC67">
        <f t="shared" si="35"/>
        <v>81.97</v>
      </c>
      <c r="AD67">
        <f t="shared" si="36"/>
        <v>0</v>
      </c>
      <c r="AE67">
        <f t="shared" si="52"/>
        <v>0</v>
      </c>
      <c r="AF67">
        <f t="shared" si="54"/>
        <v>154.28</v>
      </c>
      <c r="AG67">
        <f t="shared" si="37"/>
        <v>0</v>
      </c>
      <c r="AH67">
        <f t="shared" si="55"/>
        <v>17.010000000000002</v>
      </c>
      <c r="AI67">
        <f t="shared" si="53"/>
        <v>0</v>
      </c>
      <c r="AJ67">
        <f t="shared" si="38"/>
        <v>0</v>
      </c>
      <c r="AK67">
        <v>236.25</v>
      </c>
      <c r="AL67">
        <v>81.97</v>
      </c>
      <c r="AM67">
        <v>0</v>
      </c>
      <c r="AN67">
        <v>0</v>
      </c>
      <c r="AO67">
        <v>154.28</v>
      </c>
      <c r="AP67">
        <v>0</v>
      </c>
      <c r="AQ67">
        <v>17.010000000000002</v>
      </c>
      <c r="AR67">
        <v>0</v>
      </c>
      <c r="AS67">
        <v>0</v>
      </c>
      <c r="AT67">
        <v>117</v>
      </c>
      <c r="AU67">
        <v>74</v>
      </c>
      <c r="AV67">
        <v>1</v>
      </c>
      <c r="AW67">
        <v>1</v>
      </c>
      <c r="AZ67">
        <v>1</v>
      </c>
      <c r="BA67">
        <v>33.39</v>
      </c>
      <c r="BB67">
        <v>13.26</v>
      </c>
      <c r="BC67">
        <v>9.11</v>
      </c>
      <c r="BD67" t="s">
        <v>6</v>
      </c>
      <c r="BE67" t="s">
        <v>6</v>
      </c>
      <c r="BF67" t="s">
        <v>6</v>
      </c>
      <c r="BG67" t="s">
        <v>6</v>
      </c>
      <c r="BH67">
        <v>0</v>
      </c>
      <c r="BI67">
        <v>1</v>
      </c>
      <c r="BJ67" t="s">
        <v>204</v>
      </c>
      <c r="BM67">
        <v>23001</v>
      </c>
      <c r="BN67">
        <v>0</v>
      </c>
      <c r="BO67" t="s">
        <v>6</v>
      </c>
      <c r="BP67">
        <v>0</v>
      </c>
      <c r="BQ67">
        <v>2</v>
      </c>
      <c r="BR67">
        <v>0</v>
      </c>
      <c r="BS67">
        <v>33.39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6</v>
      </c>
      <c r="BZ67">
        <v>117</v>
      </c>
      <c r="CA67">
        <v>74</v>
      </c>
      <c r="CB67" t="s">
        <v>6</v>
      </c>
      <c r="CE67">
        <v>0</v>
      </c>
      <c r="CF67">
        <v>0</v>
      </c>
      <c r="CG67">
        <v>0</v>
      </c>
      <c r="CM67">
        <v>0</v>
      </c>
      <c r="CN67" t="s">
        <v>6</v>
      </c>
      <c r="CO67">
        <v>0</v>
      </c>
      <c r="CP67">
        <f t="shared" si="39"/>
        <v>0</v>
      </c>
      <c r="CQ67">
        <f t="shared" si="62"/>
        <v>746.74669999999992</v>
      </c>
      <c r="CR67">
        <f t="shared" si="63"/>
        <v>0</v>
      </c>
      <c r="CS67">
        <f t="shared" si="42"/>
        <v>0</v>
      </c>
      <c r="CT67">
        <f t="shared" si="43"/>
        <v>5151.4092000000001</v>
      </c>
      <c r="CU67">
        <f t="shared" si="44"/>
        <v>0</v>
      </c>
      <c r="CV67">
        <f t="shared" si="45"/>
        <v>17.010000000000002</v>
      </c>
      <c r="CW67">
        <f t="shared" si="46"/>
        <v>0</v>
      </c>
      <c r="CX67">
        <f t="shared" si="47"/>
        <v>0</v>
      </c>
      <c r="CY67">
        <f>(((S67+R67)*AT67)/100)</f>
        <v>0</v>
      </c>
      <c r="CZ67">
        <f>(((S67+R67)*AU67)/100)</f>
        <v>0</v>
      </c>
      <c r="DC67" t="s">
        <v>6</v>
      </c>
      <c r="DD67" t="s">
        <v>6</v>
      </c>
      <c r="DE67" t="s">
        <v>6</v>
      </c>
      <c r="DF67" t="s">
        <v>6</v>
      </c>
      <c r="DG67" t="s">
        <v>6</v>
      </c>
      <c r="DH67" t="s">
        <v>6</v>
      </c>
      <c r="DI67" t="s">
        <v>6</v>
      </c>
      <c r="DJ67" t="s">
        <v>6</v>
      </c>
      <c r="DK67" t="s">
        <v>6</v>
      </c>
      <c r="DL67" t="s">
        <v>6</v>
      </c>
      <c r="DM67" t="s">
        <v>6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99</v>
      </c>
      <c r="DW67" t="s">
        <v>99</v>
      </c>
      <c r="DX67">
        <v>1</v>
      </c>
      <c r="DZ67" t="s">
        <v>6</v>
      </c>
      <c r="EA67" t="s">
        <v>6</v>
      </c>
      <c r="EB67" t="s">
        <v>6</v>
      </c>
      <c r="EC67" t="s">
        <v>6</v>
      </c>
      <c r="EE67">
        <v>59670359</v>
      </c>
      <c r="EF67">
        <v>2</v>
      </c>
      <c r="EG67" t="s">
        <v>23</v>
      </c>
      <c r="EH67">
        <v>18</v>
      </c>
      <c r="EI67" t="s">
        <v>70</v>
      </c>
      <c r="EJ67">
        <v>1</v>
      </c>
      <c r="EK67">
        <v>23001</v>
      </c>
      <c r="EL67" t="s">
        <v>70</v>
      </c>
      <c r="EM67" t="s">
        <v>71</v>
      </c>
      <c r="EO67" t="s">
        <v>6</v>
      </c>
      <c r="EQ67">
        <v>131072</v>
      </c>
      <c r="ER67">
        <v>236.25</v>
      </c>
      <c r="ES67">
        <v>81.97</v>
      </c>
      <c r="ET67">
        <v>0</v>
      </c>
      <c r="EU67">
        <v>0</v>
      </c>
      <c r="EV67">
        <v>154.28</v>
      </c>
      <c r="EW67">
        <v>17.010000000000002</v>
      </c>
      <c r="EX67">
        <v>0</v>
      </c>
      <c r="EY67">
        <v>0</v>
      </c>
      <c r="FQ67">
        <v>0</v>
      </c>
      <c r="FR67">
        <f t="shared" si="16"/>
        <v>0</v>
      </c>
      <c r="FS67">
        <v>0</v>
      </c>
      <c r="FX67">
        <v>117</v>
      </c>
      <c r="FY67">
        <v>74</v>
      </c>
      <c r="GA67" t="s">
        <v>6</v>
      </c>
      <c r="GD67">
        <v>1</v>
      </c>
      <c r="GF67">
        <v>-1598885289</v>
      </c>
      <c r="GG67">
        <v>2</v>
      </c>
      <c r="GH67">
        <v>1</v>
      </c>
      <c r="GI67">
        <v>4</v>
      </c>
      <c r="GJ67">
        <v>0</v>
      </c>
      <c r="GK67">
        <v>0</v>
      </c>
      <c r="GL67">
        <f t="shared" si="17"/>
        <v>0</v>
      </c>
      <c r="GM67">
        <f t="shared" si="48"/>
        <v>0</v>
      </c>
      <c r="GN67">
        <f t="shared" si="18"/>
        <v>0</v>
      </c>
      <c r="GO67">
        <f t="shared" si="19"/>
        <v>0</v>
      </c>
      <c r="GP67">
        <f t="shared" si="20"/>
        <v>0</v>
      </c>
      <c r="GR67">
        <v>0</v>
      </c>
      <c r="GS67">
        <v>3</v>
      </c>
      <c r="GT67">
        <v>0</v>
      </c>
      <c r="GU67" t="s">
        <v>6</v>
      </c>
      <c r="GV67">
        <f t="shared" si="49"/>
        <v>0</v>
      </c>
      <c r="GW67">
        <v>1</v>
      </c>
      <c r="GX67">
        <f t="shared" si="50"/>
        <v>0</v>
      </c>
      <c r="HA67">
        <v>0</v>
      </c>
      <c r="HB67">
        <v>0</v>
      </c>
      <c r="HC67">
        <f t="shared" si="51"/>
        <v>0</v>
      </c>
      <c r="HE67" t="s">
        <v>6</v>
      </c>
      <c r="HF67" t="s">
        <v>6</v>
      </c>
      <c r="HM67" t="s">
        <v>6</v>
      </c>
      <c r="HN67" t="s">
        <v>72</v>
      </c>
      <c r="HO67" t="s">
        <v>73</v>
      </c>
      <c r="HP67" t="s">
        <v>70</v>
      </c>
      <c r="HQ67" t="s">
        <v>70</v>
      </c>
      <c r="IF67">
        <v>-1</v>
      </c>
      <c r="IK67">
        <v>0</v>
      </c>
    </row>
    <row r="68" spans="1:247" x14ac:dyDescent="0.2">
      <c r="A68">
        <v>17</v>
      </c>
      <c r="B68">
        <v>1</v>
      </c>
      <c r="C68">
        <f>ROW(SmtRes!A122)</f>
        <v>122</v>
      </c>
      <c r="D68">
        <f>ROW(EtalonRes!A109)</f>
        <v>109</v>
      </c>
      <c r="E68" t="s">
        <v>205</v>
      </c>
      <c r="F68" t="s">
        <v>206</v>
      </c>
      <c r="G68" t="s">
        <v>207</v>
      </c>
      <c r="H68" t="s">
        <v>58</v>
      </c>
      <c r="I68">
        <f>'2.Лок.смета.и.Акт в ЕР'!E209</f>
        <v>3.82</v>
      </c>
      <c r="J68">
        <v>0</v>
      </c>
      <c r="K68">
        <f>ROUND(382/100,7)</f>
        <v>3.82</v>
      </c>
      <c r="O68" t="e">
        <f t="shared" si="23"/>
        <v>#REF!</v>
      </c>
      <c r="P68">
        <f t="shared" si="24"/>
        <v>0</v>
      </c>
      <c r="Q68">
        <f t="shared" si="25"/>
        <v>0</v>
      </c>
      <c r="R68">
        <f t="shared" si="26"/>
        <v>0</v>
      </c>
      <c r="S68" t="e">
        <f t="shared" si="27"/>
        <v>#REF!</v>
      </c>
      <c r="T68">
        <f t="shared" si="28"/>
        <v>0</v>
      </c>
      <c r="U68">
        <f t="shared" si="29"/>
        <v>338.07</v>
      </c>
      <c r="V68">
        <f t="shared" si="30"/>
        <v>0</v>
      </c>
      <c r="W68">
        <f t="shared" si="31"/>
        <v>0</v>
      </c>
      <c r="X68" t="e">
        <f t="shared" si="32"/>
        <v>#REF!</v>
      </c>
      <c r="Y68" t="e">
        <f t="shared" si="33"/>
        <v>#REF!</v>
      </c>
      <c r="AA68">
        <v>67643165</v>
      </c>
      <c r="AB68" t="e">
        <f t="shared" si="34"/>
        <v>#REF!</v>
      </c>
      <c r="AC68">
        <f t="shared" si="35"/>
        <v>0</v>
      </c>
      <c r="AD68">
        <f t="shared" si="36"/>
        <v>0</v>
      </c>
      <c r="AE68">
        <f t="shared" si="52"/>
        <v>0</v>
      </c>
      <c r="AF68" t="e">
        <f t="shared" si="54"/>
        <v>#REF!</v>
      </c>
      <c r="AG68">
        <f t="shared" si="37"/>
        <v>0</v>
      </c>
      <c r="AH68">
        <f t="shared" si="55"/>
        <v>88.5</v>
      </c>
      <c r="AI68">
        <f t="shared" si="53"/>
        <v>0</v>
      </c>
      <c r="AJ68">
        <f t="shared" si="38"/>
        <v>0</v>
      </c>
      <c r="AK68" t="e">
        <f>AL68+AM68+AO68</f>
        <v>#REF!</v>
      </c>
      <c r="AL68">
        <v>0</v>
      </c>
      <c r="AM68">
        <v>0</v>
      </c>
      <c r="AN68">
        <v>0</v>
      </c>
      <c r="AO68" s="67" t="e">
        <f>'1.Лок.смета.и.Акт'!#REF!</f>
        <v>#REF!</v>
      </c>
      <c r="AP68">
        <v>0</v>
      </c>
      <c r="AQ68">
        <f>'2.Лок.смета.и.Акт в ЕР'!E214</f>
        <v>88.5</v>
      </c>
      <c r="AR68">
        <v>0</v>
      </c>
      <c r="AS68">
        <v>0</v>
      </c>
      <c r="AT68">
        <v>89</v>
      </c>
      <c r="AU68">
        <v>40</v>
      </c>
      <c r="AV68">
        <v>1</v>
      </c>
      <c r="AW68">
        <v>1</v>
      </c>
      <c r="AZ68">
        <v>1</v>
      </c>
      <c r="BA68" t="e">
        <f>'1.Лок.смета.и.Акт'!#REF!</f>
        <v>#REF!</v>
      </c>
      <c r="BB68">
        <v>13.26</v>
      </c>
      <c r="BC68">
        <v>9.11</v>
      </c>
      <c r="BD68" t="s">
        <v>6</v>
      </c>
      <c r="BE68" t="s">
        <v>6</v>
      </c>
      <c r="BF68" t="s">
        <v>6</v>
      </c>
      <c r="BG68" t="s">
        <v>6</v>
      </c>
      <c r="BH68">
        <v>0</v>
      </c>
      <c r="BI68">
        <v>1</v>
      </c>
      <c r="BJ68" t="s">
        <v>208</v>
      </c>
      <c r="BM68">
        <v>1003</v>
      </c>
      <c r="BN68">
        <v>0</v>
      </c>
      <c r="BO68" t="s">
        <v>6</v>
      </c>
      <c r="BP68">
        <v>0</v>
      </c>
      <c r="BQ68">
        <v>2</v>
      </c>
      <c r="BR68">
        <v>0</v>
      </c>
      <c r="BS68">
        <v>33.39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6</v>
      </c>
      <c r="BZ68">
        <v>89</v>
      </c>
      <c r="CA68">
        <v>40</v>
      </c>
      <c r="CB68" t="s">
        <v>6</v>
      </c>
      <c r="CE68">
        <v>0</v>
      </c>
      <c r="CF68">
        <v>0</v>
      </c>
      <c r="CG68">
        <v>0</v>
      </c>
      <c r="CM68">
        <v>0</v>
      </c>
      <c r="CN68" t="s">
        <v>6</v>
      </c>
      <c r="CO68">
        <v>0</v>
      </c>
      <c r="CP68" t="e">
        <f t="shared" si="39"/>
        <v>#REF!</v>
      </c>
      <c r="CQ68">
        <f t="shared" si="62"/>
        <v>0</v>
      </c>
      <c r="CR68">
        <f t="shared" si="63"/>
        <v>0</v>
      </c>
      <c r="CS68">
        <f t="shared" si="42"/>
        <v>0</v>
      </c>
      <c r="CT68" t="e">
        <f t="shared" si="43"/>
        <v>#REF!</v>
      </c>
      <c r="CU68">
        <f t="shared" si="44"/>
        <v>0</v>
      </c>
      <c r="CV68">
        <f t="shared" si="45"/>
        <v>88.5</v>
      </c>
      <c r="CW68">
        <f t="shared" si="46"/>
        <v>0</v>
      </c>
      <c r="CX68">
        <f t="shared" si="47"/>
        <v>0</v>
      </c>
      <c r="CY68" t="e">
        <f>(((S68+R68)*AT68)/100)</f>
        <v>#REF!</v>
      </c>
      <c r="CZ68" t="e">
        <f>(((S68+R68)*AU68)/100)</f>
        <v>#REF!</v>
      </c>
      <c r="DC68" t="s">
        <v>6</v>
      </c>
      <c r="DD68" t="s">
        <v>6</v>
      </c>
      <c r="DE68" t="s">
        <v>6</v>
      </c>
      <c r="DF68" t="s">
        <v>6</v>
      </c>
      <c r="DG68" t="s">
        <v>6</v>
      </c>
      <c r="DH68" t="s">
        <v>6</v>
      </c>
      <c r="DI68" t="s">
        <v>6</v>
      </c>
      <c r="DJ68" t="s">
        <v>6</v>
      </c>
      <c r="DK68" t="s">
        <v>6</v>
      </c>
      <c r="DL68" t="s">
        <v>6</v>
      </c>
      <c r="DM68" t="s">
        <v>6</v>
      </c>
      <c r="DN68">
        <v>0</v>
      </c>
      <c r="DO68">
        <v>0</v>
      </c>
      <c r="DP68">
        <v>1</v>
      </c>
      <c r="DQ68">
        <v>1</v>
      </c>
      <c r="DU68">
        <v>1007</v>
      </c>
      <c r="DV68" t="s">
        <v>58</v>
      </c>
      <c r="DW68" t="str">
        <f>'2.Лок.смета.и.Акт в ЕР'!D209</f>
        <v>100 м3</v>
      </c>
      <c r="DX68">
        <v>100</v>
      </c>
      <c r="DZ68" t="s">
        <v>6</v>
      </c>
      <c r="EA68" t="s">
        <v>6</v>
      </c>
      <c r="EB68" t="s">
        <v>6</v>
      </c>
      <c r="EC68" t="s">
        <v>6</v>
      </c>
      <c r="EE68">
        <v>59670274</v>
      </c>
      <c r="EF68">
        <v>2</v>
      </c>
      <c r="EG68" t="s">
        <v>23</v>
      </c>
      <c r="EH68">
        <v>1</v>
      </c>
      <c r="EI68" t="s">
        <v>24</v>
      </c>
      <c r="EJ68">
        <v>1</v>
      </c>
      <c r="EK68">
        <v>1003</v>
      </c>
      <c r="EL68" t="s">
        <v>61</v>
      </c>
      <c r="EM68" t="s">
        <v>26</v>
      </c>
      <c r="EO68" t="s">
        <v>6</v>
      </c>
      <c r="EQ68">
        <v>131072</v>
      </c>
      <c r="ER68" t="e">
        <f>ES68+ET68+EV68</f>
        <v>#REF!</v>
      </c>
      <c r="ES68">
        <v>0</v>
      </c>
      <c r="ET68">
        <v>0</v>
      </c>
      <c r="EU68">
        <v>0</v>
      </c>
      <c r="EV68" s="67" t="e">
        <f>'1.Лок.смета.и.Акт'!#REF!</f>
        <v>#REF!</v>
      </c>
      <c r="EW68">
        <f>'2.Лок.смета.и.Акт в ЕР'!E214</f>
        <v>88.5</v>
      </c>
      <c r="EX68">
        <v>0</v>
      </c>
      <c r="EY68">
        <v>0</v>
      </c>
      <c r="FQ68">
        <v>0</v>
      </c>
      <c r="FR68">
        <f t="shared" si="16"/>
        <v>0</v>
      </c>
      <c r="FS68">
        <v>0</v>
      </c>
      <c r="FX68">
        <v>89</v>
      </c>
      <c r="FY68">
        <v>40</v>
      </c>
      <c r="GA68" t="s">
        <v>6</v>
      </c>
      <c r="GD68">
        <v>1</v>
      </c>
      <c r="GF68">
        <v>1480727532</v>
      </c>
      <c r="GG68">
        <v>2</v>
      </c>
      <c r="GH68">
        <v>1</v>
      </c>
      <c r="GI68">
        <v>4</v>
      </c>
      <c r="GJ68">
        <v>0</v>
      </c>
      <c r="GK68">
        <v>0</v>
      </c>
      <c r="GL68">
        <f t="shared" si="17"/>
        <v>0</v>
      </c>
      <c r="GM68" t="e">
        <f t="shared" si="48"/>
        <v>#REF!</v>
      </c>
      <c r="GN68" t="e">
        <f t="shared" si="18"/>
        <v>#REF!</v>
      </c>
      <c r="GO68">
        <f t="shared" si="19"/>
        <v>0</v>
      </c>
      <c r="GP68">
        <f t="shared" si="20"/>
        <v>0</v>
      </c>
      <c r="GR68">
        <v>0</v>
      </c>
      <c r="GS68">
        <v>3</v>
      </c>
      <c r="GT68">
        <v>0</v>
      </c>
      <c r="GU68" t="s">
        <v>6</v>
      </c>
      <c r="GV68">
        <f t="shared" si="49"/>
        <v>0</v>
      </c>
      <c r="GW68">
        <v>1</v>
      </c>
      <c r="GX68">
        <f t="shared" si="50"/>
        <v>0</v>
      </c>
      <c r="HA68">
        <v>0</v>
      </c>
      <c r="HB68">
        <v>0</v>
      </c>
      <c r="HC68">
        <f t="shared" si="51"/>
        <v>0</v>
      </c>
      <c r="HE68" t="s">
        <v>6</v>
      </c>
      <c r="HF68" t="s">
        <v>6</v>
      </c>
      <c r="HM68" t="s">
        <v>6</v>
      </c>
      <c r="HN68" t="s">
        <v>63</v>
      </c>
      <c r="HO68" t="s">
        <v>64</v>
      </c>
      <c r="HP68" t="s">
        <v>61</v>
      </c>
      <c r="HQ68" t="s">
        <v>61</v>
      </c>
      <c r="IF68">
        <v>-1</v>
      </c>
      <c r="IK68">
        <v>0</v>
      </c>
      <c r="IL68" t="s">
        <v>522</v>
      </c>
      <c r="IM68">
        <v>3.82</v>
      </c>
    </row>
    <row r="69" spans="1:247" x14ac:dyDescent="0.2">
      <c r="A69">
        <v>18</v>
      </c>
      <c r="B69">
        <v>1</v>
      </c>
      <c r="C69">
        <v>122</v>
      </c>
      <c r="E69" t="s">
        <v>209</v>
      </c>
      <c r="F69" t="str">
        <f>'2.Лок.смета.и.Акт в ЕР'!B215</f>
        <v>02.3.01.02-0016</v>
      </c>
      <c r="G69" t="s">
        <v>76</v>
      </c>
      <c r="H69" t="s">
        <v>33</v>
      </c>
      <c r="I69">
        <f>I68*J69</f>
        <v>420.2</v>
      </c>
      <c r="J69" s="211">
        <f>'6.Ведомость_списания'!F105</f>
        <v>110</v>
      </c>
      <c r="K69">
        <v>110</v>
      </c>
      <c r="O69" t="e">
        <f t="shared" si="23"/>
        <v>#REF!</v>
      </c>
      <c r="P69" t="e">
        <f t="shared" si="24"/>
        <v>#REF!</v>
      </c>
      <c r="Q69">
        <f t="shared" si="25"/>
        <v>0</v>
      </c>
      <c r="R69">
        <f t="shared" si="26"/>
        <v>0</v>
      </c>
      <c r="S69">
        <f t="shared" si="27"/>
        <v>0</v>
      </c>
      <c r="T69">
        <f t="shared" si="28"/>
        <v>0</v>
      </c>
      <c r="U69">
        <f t="shared" si="29"/>
        <v>0</v>
      </c>
      <c r="V69">
        <f t="shared" si="30"/>
        <v>0</v>
      </c>
      <c r="W69">
        <f t="shared" si="31"/>
        <v>0</v>
      </c>
      <c r="X69">
        <f t="shared" si="32"/>
        <v>0</v>
      </c>
      <c r="Y69">
        <f t="shared" si="33"/>
        <v>0</v>
      </c>
      <c r="AA69">
        <v>67643165</v>
      </c>
      <c r="AB69" t="e">
        <f t="shared" si="34"/>
        <v>#REF!</v>
      </c>
      <c r="AC69" t="e">
        <f t="shared" si="35"/>
        <v>#REF!</v>
      </c>
      <c r="AD69">
        <f t="shared" si="36"/>
        <v>0</v>
      </c>
      <c r="AE69">
        <f t="shared" si="52"/>
        <v>0</v>
      </c>
      <c r="AF69">
        <f t="shared" si="54"/>
        <v>0</v>
      </c>
      <c r="AG69">
        <f t="shared" si="37"/>
        <v>0</v>
      </c>
      <c r="AH69">
        <f t="shared" si="55"/>
        <v>0</v>
      </c>
      <c r="AI69">
        <f t="shared" si="53"/>
        <v>0</v>
      </c>
      <c r="AJ69">
        <f t="shared" si="38"/>
        <v>0</v>
      </c>
      <c r="AK69">
        <v>55.26</v>
      </c>
      <c r="AL69" s="67" t="e">
        <f>'1.Лок.смета.и.Акт'!#REF!</f>
        <v>#REF!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 t="e">
        <f>'1.Лок.смета.и.Акт'!#REF!</f>
        <v>#REF!</v>
      </c>
      <c r="BD69" t="s">
        <v>6</v>
      </c>
      <c r="BE69" t="s">
        <v>6</v>
      </c>
      <c r="BF69" t="s">
        <v>6</v>
      </c>
      <c r="BG69" t="s">
        <v>6</v>
      </c>
      <c r="BH69">
        <v>3</v>
      </c>
      <c r="BI69">
        <v>1</v>
      </c>
      <c r="BJ69" t="s">
        <v>77</v>
      </c>
      <c r="BM69">
        <v>500001</v>
      </c>
      <c r="BN69">
        <v>0</v>
      </c>
      <c r="BO69" t="s">
        <v>6</v>
      </c>
      <c r="BP69">
        <v>0</v>
      </c>
      <c r="BQ69">
        <v>8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6</v>
      </c>
      <c r="BZ69">
        <v>0</v>
      </c>
      <c r="CA69">
        <v>0</v>
      </c>
      <c r="CB69" t="s">
        <v>6</v>
      </c>
      <c r="CE69">
        <v>0</v>
      </c>
      <c r="CF69">
        <v>0</v>
      </c>
      <c r="CG69">
        <v>0</v>
      </c>
      <c r="CM69">
        <v>0</v>
      </c>
      <c r="CN69" t="s">
        <v>6</v>
      </c>
      <c r="CO69">
        <v>0</v>
      </c>
      <c r="CP69" t="e">
        <f t="shared" si="39"/>
        <v>#REF!</v>
      </c>
      <c r="CQ69" t="e">
        <f t="shared" si="62"/>
        <v>#REF!</v>
      </c>
      <c r="CR69">
        <f t="shared" si="63"/>
        <v>0</v>
      </c>
      <c r="CS69">
        <f t="shared" si="42"/>
        <v>0</v>
      </c>
      <c r="CT69">
        <f t="shared" si="43"/>
        <v>0</v>
      </c>
      <c r="CU69">
        <f t="shared" si="44"/>
        <v>0</v>
      </c>
      <c r="CV69">
        <f t="shared" si="45"/>
        <v>0</v>
      </c>
      <c r="CW69">
        <f t="shared" si="46"/>
        <v>0</v>
      </c>
      <c r="CX69">
        <f t="shared" si="47"/>
        <v>0</v>
      </c>
      <c r="CY69">
        <f>0</f>
        <v>0</v>
      </c>
      <c r="CZ69">
        <f>0</f>
        <v>0</v>
      </c>
      <c r="DC69" t="s">
        <v>6</v>
      </c>
      <c r="DD69" t="s">
        <v>6</v>
      </c>
      <c r="DE69" t="s">
        <v>6</v>
      </c>
      <c r="DF69" t="s">
        <v>6</v>
      </c>
      <c r="DG69" t="s">
        <v>6</v>
      </c>
      <c r="DH69" t="s">
        <v>6</v>
      </c>
      <c r="DI69" t="s">
        <v>6</v>
      </c>
      <c r="DJ69" t="s">
        <v>6</v>
      </c>
      <c r="DK69" t="s">
        <v>6</v>
      </c>
      <c r="DL69" t="s">
        <v>6</v>
      </c>
      <c r="DM69" t="s">
        <v>6</v>
      </c>
      <c r="DN69">
        <v>0</v>
      </c>
      <c r="DO69">
        <v>0</v>
      </c>
      <c r="DP69">
        <v>1</v>
      </c>
      <c r="DQ69">
        <v>1</v>
      </c>
      <c r="DU69">
        <v>1007</v>
      </c>
      <c r="DV69" t="s">
        <v>33</v>
      </c>
      <c r="DW69" t="str">
        <f>'2.Лок.смета.и.Акт в ЕР'!D215</f>
        <v>м3</v>
      </c>
      <c r="DX69">
        <v>1</v>
      </c>
      <c r="DZ69" t="s">
        <v>6</v>
      </c>
      <c r="EA69" t="s">
        <v>6</v>
      </c>
      <c r="EB69" t="s">
        <v>6</v>
      </c>
      <c r="EC69" t="s">
        <v>6</v>
      </c>
      <c r="EE69">
        <v>59670228</v>
      </c>
      <c r="EF69">
        <v>8</v>
      </c>
      <c r="EG69" t="s">
        <v>35</v>
      </c>
      <c r="EH69">
        <v>0</v>
      </c>
      <c r="EI69" t="s">
        <v>6</v>
      </c>
      <c r="EJ69">
        <v>1</v>
      </c>
      <c r="EK69">
        <v>500001</v>
      </c>
      <c r="EL69" t="s">
        <v>36</v>
      </c>
      <c r="EM69" t="s">
        <v>37</v>
      </c>
      <c r="EO69" t="s">
        <v>6</v>
      </c>
      <c r="EQ69">
        <v>0</v>
      </c>
      <c r="ER69">
        <v>55.26</v>
      </c>
      <c r="ES69" s="67" t="e">
        <f>'1.Лок.смета.и.Акт'!#REF!</f>
        <v>#REF!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16"/>
        <v>0</v>
      </c>
      <c r="FS69">
        <v>0</v>
      </c>
      <c r="FX69">
        <v>0</v>
      </c>
      <c r="FY69">
        <v>0</v>
      </c>
      <c r="GA69" t="s">
        <v>6</v>
      </c>
      <c r="GD69">
        <v>1</v>
      </c>
      <c r="GF69">
        <v>1448519192</v>
      </c>
      <c r="GG69">
        <v>2</v>
      </c>
      <c r="GH69">
        <v>1</v>
      </c>
      <c r="GI69">
        <v>4</v>
      </c>
      <c r="GJ69">
        <v>0</v>
      </c>
      <c r="GK69">
        <v>0</v>
      </c>
      <c r="GL69">
        <f t="shared" si="17"/>
        <v>0</v>
      </c>
      <c r="GM69" t="e">
        <f t="shared" si="48"/>
        <v>#REF!</v>
      </c>
      <c r="GN69" t="e">
        <f t="shared" si="18"/>
        <v>#REF!</v>
      </c>
      <c r="GO69">
        <f t="shared" si="19"/>
        <v>0</v>
      </c>
      <c r="GP69">
        <f t="shared" si="20"/>
        <v>0</v>
      </c>
      <c r="GR69">
        <v>0</v>
      </c>
      <c r="GS69">
        <v>3</v>
      </c>
      <c r="GT69">
        <v>0</v>
      </c>
      <c r="GU69" t="s">
        <v>6</v>
      </c>
      <c r="GV69">
        <f t="shared" si="49"/>
        <v>0</v>
      </c>
      <c r="GW69">
        <v>1</v>
      </c>
      <c r="GX69">
        <f t="shared" si="50"/>
        <v>0</v>
      </c>
      <c r="HA69">
        <v>0</v>
      </c>
      <c r="HB69">
        <v>0</v>
      </c>
      <c r="HC69">
        <f t="shared" si="51"/>
        <v>0</v>
      </c>
      <c r="HE69" t="s">
        <v>6</v>
      </c>
      <c r="HF69" t="s">
        <v>6</v>
      </c>
      <c r="HM69" t="s">
        <v>6</v>
      </c>
      <c r="HN69" t="s">
        <v>6</v>
      </c>
      <c r="HO69" t="s">
        <v>6</v>
      </c>
      <c r="HP69" t="s">
        <v>6</v>
      </c>
      <c r="HQ69" t="s">
        <v>6</v>
      </c>
      <c r="IF69">
        <v>-1</v>
      </c>
      <c r="IK69">
        <v>0</v>
      </c>
    </row>
    <row r="70" spans="1:247" x14ac:dyDescent="0.2">
      <c r="A70">
        <v>17</v>
      </c>
      <c r="B70">
        <v>1</v>
      </c>
      <c r="C70">
        <f>ROW(SmtRes!A124)</f>
        <v>124</v>
      </c>
      <c r="D70">
        <f>ROW(EtalonRes!A111)</f>
        <v>111</v>
      </c>
      <c r="E70" t="s">
        <v>210</v>
      </c>
      <c r="F70" t="s">
        <v>211</v>
      </c>
      <c r="G70" t="s">
        <v>212</v>
      </c>
      <c r="H70" t="s">
        <v>19</v>
      </c>
      <c r="I70">
        <f>'2.Лок.смета.и.Акт в ЕР'!E219</f>
        <v>1.5069999999999999</v>
      </c>
      <c r="J70">
        <v>0</v>
      </c>
      <c r="K70">
        <f>ROUND(1507/1000,7)</f>
        <v>1.5069999999999999</v>
      </c>
      <c r="O70" t="e">
        <f t="shared" si="23"/>
        <v>#REF!</v>
      </c>
      <c r="P70">
        <f t="shared" si="24"/>
        <v>0</v>
      </c>
      <c r="Q70" t="e">
        <f t="shared" si="25"/>
        <v>#REF!</v>
      </c>
      <c r="R70" t="e">
        <f t="shared" si="26"/>
        <v>#REF!</v>
      </c>
      <c r="S70">
        <f t="shared" si="27"/>
        <v>0</v>
      </c>
      <c r="T70">
        <f t="shared" si="28"/>
        <v>0</v>
      </c>
      <c r="U70">
        <f t="shared" si="29"/>
        <v>0</v>
      </c>
      <c r="V70">
        <f t="shared" si="30"/>
        <v>12.146420000000001</v>
      </c>
      <c r="W70">
        <f t="shared" si="31"/>
        <v>0</v>
      </c>
      <c r="X70" t="e">
        <f t="shared" si="32"/>
        <v>#REF!</v>
      </c>
      <c r="Y70" t="e">
        <f t="shared" si="33"/>
        <v>#REF!</v>
      </c>
      <c r="AA70">
        <v>67643165</v>
      </c>
      <c r="AB70" t="e">
        <f t="shared" si="34"/>
        <v>#REF!</v>
      </c>
      <c r="AC70">
        <f t="shared" si="35"/>
        <v>0</v>
      </c>
      <c r="AD70" t="e">
        <f t="shared" si="36"/>
        <v>#REF!</v>
      </c>
      <c r="AE70" t="e">
        <f t="shared" si="52"/>
        <v>#REF!</v>
      </c>
      <c r="AF70">
        <f t="shared" si="54"/>
        <v>0</v>
      </c>
      <c r="AG70">
        <f t="shared" si="37"/>
        <v>0</v>
      </c>
      <c r="AH70">
        <f t="shared" si="55"/>
        <v>0</v>
      </c>
      <c r="AI70">
        <f t="shared" si="53"/>
        <v>8.06</v>
      </c>
      <c r="AJ70">
        <f t="shared" si="38"/>
        <v>0</v>
      </c>
      <c r="AK70" t="e">
        <f>AL70+AM70+AO70</f>
        <v>#REF!</v>
      </c>
      <c r="AL70">
        <v>0</v>
      </c>
      <c r="AM70" s="67" t="e">
        <f>'1.Лок.смета.и.Акт'!#REF!</f>
        <v>#REF!</v>
      </c>
      <c r="AN70" s="67" t="e">
        <f>'1.Лок.смета.и.Акт'!#REF!</f>
        <v>#REF!</v>
      </c>
      <c r="AO70">
        <v>0</v>
      </c>
      <c r="AP70">
        <v>0</v>
      </c>
      <c r="AQ70">
        <v>0</v>
      </c>
      <c r="AR70">
        <v>8.06</v>
      </c>
      <c r="AS70">
        <v>0</v>
      </c>
      <c r="AT70">
        <v>92</v>
      </c>
      <c r="AU70">
        <v>46</v>
      </c>
      <c r="AV70">
        <v>1</v>
      </c>
      <c r="AW70">
        <v>1</v>
      </c>
      <c r="AZ70">
        <v>1</v>
      </c>
      <c r="BA70">
        <v>33.39</v>
      </c>
      <c r="BB70" t="e">
        <f>'1.Лок.смета.и.Акт'!#REF!</f>
        <v>#REF!</v>
      </c>
      <c r="BC70">
        <v>9.11</v>
      </c>
      <c r="BD70" t="s">
        <v>6</v>
      </c>
      <c r="BE70" t="s">
        <v>6</v>
      </c>
      <c r="BF70" t="s">
        <v>6</v>
      </c>
      <c r="BG70" t="s">
        <v>6</v>
      </c>
      <c r="BH70">
        <v>0</v>
      </c>
      <c r="BI70">
        <v>1</v>
      </c>
      <c r="BJ70" t="s">
        <v>213</v>
      </c>
      <c r="BM70">
        <v>1001</v>
      </c>
      <c r="BN70">
        <v>0</v>
      </c>
      <c r="BO70" t="s">
        <v>6</v>
      </c>
      <c r="BP70">
        <v>0</v>
      </c>
      <c r="BQ70">
        <v>2</v>
      </c>
      <c r="BR70">
        <v>0</v>
      </c>
      <c r="BS70" t="e">
        <f>'1.Лок.смета.и.Акт'!#REF!</f>
        <v>#REF!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6</v>
      </c>
      <c r="BZ70">
        <v>92</v>
      </c>
      <c r="CA70">
        <v>46</v>
      </c>
      <c r="CB70" t="s">
        <v>6</v>
      </c>
      <c r="CE70">
        <v>0</v>
      </c>
      <c r="CF70">
        <v>0</v>
      </c>
      <c r="CG70">
        <v>0</v>
      </c>
      <c r="CM70">
        <v>0</v>
      </c>
      <c r="CN70" t="s">
        <v>6</v>
      </c>
      <c r="CO70">
        <v>0</v>
      </c>
      <c r="CP70" t="e">
        <f t="shared" si="39"/>
        <v>#REF!</v>
      </c>
      <c r="CQ70">
        <f t="shared" si="62"/>
        <v>0</v>
      </c>
      <c r="CR70" t="e">
        <f t="shared" si="63"/>
        <v>#REF!</v>
      </c>
      <c r="CS70" t="e">
        <f t="shared" si="42"/>
        <v>#REF!</v>
      </c>
      <c r="CT70">
        <f t="shared" si="43"/>
        <v>0</v>
      </c>
      <c r="CU70">
        <f t="shared" si="44"/>
        <v>0</v>
      </c>
      <c r="CV70">
        <f t="shared" si="45"/>
        <v>0</v>
      </c>
      <c r="CW70">
        <f t="shared" si="46"/>
        <v>8.06</v>
      </c>
      <c r="CX70">
        <f t="shared" si="47"/>
        <v>0</v>
      </c>
      <c r="CY70" t="e">
        <f>(((S70+R70)*AT70)/100)</f>
        <v>#REF!</v>
      </c>
      <c r="CZ70" t="e">
        <f>(((S70+R70)*AU70)/100)</f>
        <v>#REF!</v>
      </c>
      <c r="DC70" t="s">
        <v>6</v>
      </c>
      <c r="DD70" t="s">
        <v>6</v>
      </c>
      <c r="DE70" t="s">
        <v>6</v>
      </c>
      <c r="DF70" t="s">
        <v>6</v>
      </c>
      <c r="DG70" t="s">
        <v>6</v>
      </c>
      <c r="DH70" t="s">
        <v>6</v>
      </c>
      <c r="DI70" t="s">
        <v>6</v>
      </c>
      <c r="DJ70" t="s">
        <v>6</v>
      </c>
      <c r="DK70" t="s">
        <v>6</v>
      </c>
      <c r="DL70" t="s">
        <v>6</v>
      </c>
      <c r="DM70" t="s">
        <v>6</v>
      </c>
      <c r="DN70">
        <v>0</v>
      </c>
      <c r="DO70">
        <v>0</v>
      </c>
      <c r="DP70">
        <v>1</v>
      </c>
      <c r="DQ70">
        <v>1</v>
      </c>
      <c r="DU70">
        <v>1007</v>
      </c>
      <c r="DV70" t="s">
        <v>19</v>
      </c>
      <c r="DW70" t="str">
        <f>'2.Лок.смета.и.Акт в ЕР'!D219</f>
        <v>1000 м3</v>
      </c>
      <c r="DX70">
        <v>1000</v>
      </c>
      <c r="DZ70" t="s">
        <v>6</v>
      </c>
      <c r="EA70" t="s">
        <v>6</v>
      </c>
      <c r="EB70" t="s">
        <v>6</v>
      </c>
      <c r="EC70" t="s">
        <v>6</v>
      </c>
      <c r="EE70">
        <v>59670271</v>
      </c>
      <c r="EF70">
        <v>2</v>
      </c>
      <c r="EG70" t="s">
        <v>23</v>
      </c>
      <c r="EH70">
        <v>1</v>
      </c>
      <c r="EI70" t="s">
        <v>24</v>
      </c>
      <c r="EJ70">
        <v>1</v>
      </c>
      <c r="EK70">
        <v>1001</v>
      </c>
      <c r="EL70" t="s">
        <v>25</v>
      </c>
      <c r="EM70" t="s">
        <v>26</v>
      </c>
      <c r="EO70" t="s">
        <v>6</v>
      </c>
      <c r="EQ70">
        <v>131072</v>
      </c>
      <c r="ER70" t="e">
        <f>ES70+ET70+EV70</f>
        <v>#REF!</v>
      </c>
      <c r="ES70">
        <v>0</v>
      </c>
      <c r="ET70" s="67" t="e">
        <f>'1.Лок.смета.и.Акт'!#REF!</f>
        <v>#REF!</v>
      </c>
      <c r="EU70" s="67" t="e">
        <f>'1.Лок.смета.и.Акт'!#REF!</f>
        <v>#REF!</v>
      </c>
      <c r="EV70">
        <v>0</v>
      </c>
      <c r="EW70">
        <v>0</v>
      </c>
      <c r="EX70">
        <v>8.06</v>
      </c>
      <c r="EY70">
        <v>0</v>
      </c>
      <c r="FQ70">
        <v>0</v>
      </c>
      <c r="FR70">
        <f t="shared" si="16"/>
        <v>0</v>
      </c>
      <c r="FS70">
        <v>0</v>
      </c>
      <c r="FX70">
        <v>92</v>
      </c>
      <c r="FY70">
        <v>46</v>
      </c>
      <c r="GA70" t="s">
        <v>6</v>
      </c>
      <c r="GD70">
        <v>1</v>
      </c>
      <c r="GF70">
        <v>-693576222</v>
      </c>
      <c r="GG70">
        <v>2</v>
      </c>
      <c r="GH70">
        <v>1</v>
      </c>
      <c r="GI70">
        <v>4</v>
      </c>
      <c r="GJ70">
        <v>0</v>
      </c>
      <c r="GK70">
        <v>0</v>
      </c>
      <c r="GL70">
        <f t="shared" si="17"/>
        <v>0</v>
      </c>
      <c r="GM70" t="e">
        <f t="shared" si="48"/>
        <v>#REF!</v>
      </c>
      <c r="GN70" t="e">
        <f t="shared" si="18"/>
        <v>#REF!</v>
      </c>
      <c r="GO70">
        <f t="shared" si="19"/>
        <v>0</v>
      </c>
      <c r="GP70">
        <f t="shared" si="20"/>
        <v>0</v>
      </c>
      <c r="GR70">
        <v>0</v>
      </c>
      <c r="GS70">
        <v>3</v>
      </c>
      <c r="GT70">
        <v>0</v>
      </c>
      <c r="GU70" t="s">
        <v>6</v>
      </c>
      <c r="GV70">
        <f t="shared" si="49"/>
        <v>0</v>
      </c>
      <c r="GW70">
        <v>1</v>
      </c>
      <c r="GX70">
        <f t="shared" si="50"/>
        <v>0</v>
      </c>
      <c r="HA70">
        <v>0</v>
      </c>
      <c r="HB70">
        <v>0</v>
      </c>
      <c r="HC70">
        <f t="shared" si="51"/>
        <v>0</v>
      </c>
      <c r="HE70" t="s">
        <v>6</v>
      </c>
      <c r="HF70" t="s">
        <v>6</v>
      </c>
      <c r="HM70" t="s">
        <v>6</v>
      </c>
      <c r="HN70" t="s">
        <v>28</v>
      </c>
      <c r="HO70" t="s">
        <v>29</v>
      </c>
      <c r="HP70" t="s">
        <v>25</v>
      </c>
      <c r="HQ70" t="s">
        <v>25</v>
      </c>
      <c r="IF70">
        <v>-1</v>
      </c>
      <c r="IK70">
        <v>0</v>
      </c>
      <c r="IL70" t="s">
        <v>523</v>
      </c>
      <c r="IM70">
        <v>1.5069999999999999</v>
      </c>
    </row>
    <row r="71" spans="1:247" x14ac:dyDescent="0.2">
      <c r="A71">
        <v>17</v>
      </c>
      <c r="B71">
        <v>1</v>
      </c>
      <c r="C71">
        <f>ROW(SmtRes!A128)</f>
        <v>128</v>
      </c>
      <c r="D71">
        <f>ROW(EtalonRes!A115)</f>
        <v>115</v>
      </c>
      <c r="E71" t="s">
        <v>214</v>
      </c>
      <c r="F71" t="s">
        <v>215</v>
      </c>
      <c r="G71" t="s">
        <v>216</v>
      </c>
      <c r="H71" t="s">
        <v>58</v>
      </c>
      <c r="I71">
        <f>'2.Лок.смета.и.Акт в ЕР'!E227</f>
        <v>15.07</v>
      </c>
      <c r="J71">
        <v>0</v>
      </c>
      <c r="K71">
        <f>ROUND(I70*10,7)</f>
        <v>15.07</v>
      </c>
      <c r="O71" t="e">
        <f t="shared" si="23"/>
        <v>#REF!</v>
      </c>
      <c r="P71">
        <f t="shared" si="24"/>
        <v>0</v>
      </c>
      <c r="Q71" t="e">
        <f t="shared" si="25"/>
        <v>#REF!</v>
      </c>
      <c r="R71" t="e">
        <f t="shared" si="26"/>
        <v>#REF!</v>
      </c>
      <c r="S71" t="e">
        <f t="shared" si="27"/>
        <v>#REF!</v>
      </c>
      <c r="T71">
        <f t="shared" si="28"/>
        <v>0</v>
      </c>
      <c r="U71">
        <f t="shared" si="29"/>
        <v>188.8271</v>
      </c>
      <c r="V71">
        <f t="shared" si="30"/>
        <v>39.483400000000003</v>
      </c>
      <c r="W71">
        <f t="shared" si="31"/>
        <v>0</v>
      </c>
      <c r="X71" t="e">
        <f t="shared" si="32"/>
        <v>#REF!</v>
      </c>
      <c r="Y71" t="e">
        <f t="shared" si="33"/>
        <v>#REF!</v>
      </c>
      <c r="AA71">
        <v>67643165</v>
      </c>
      <c r="AB71" t="e">
        <f t="shared" si="34"/>
        <v>#REF!</v>
      </c>
      <c r="AC71">
        <f t="shared" si="35"/>
        <v>0</v>
      </c>
      <c r="AD71" t="e">
        <f t="shared" si="36"/>
        <v>#REF!</v>
      </c>
      <c r="AE71" t="e">
        <f t="shared" si="52"/>
        <v>#REF!</v>
      </c>
      <c r="AF71" t="e">
        <f t="shared" si="54"/>
        <v>#REF!</v>
      </c>
      <c r="AG71">
        <f t="shared" si="37"/>
        <v>0</v>
      </c>
      <c r="AH71">
        <f t="shared" si="55"/>
        <v>12.53</v>
      </c>
      <c r="AI71">
        <f t="shared" si="53"/>
        <v>2.62</v>
      </c>
      <c r="AJ71">
        <f t="shared" si="38"/>
        <v>0</v>
      </c>
      <c r="AK71" t="e">
        <f>AL71+AM71+AO71</f>
        <v>#REF!</v>
      </c>
      <c r="AL71">
        <v>0</v>
      </c>
      <c r="AM71" s="67" t="e">
        <f>'1.Лок.смета.и.Акт'!#REF!</f>
        <v>#REF!</v>
      </c>
      <c r="AN71" s="67" t="e">
        <f>'1.Лок.смета.и.Акт'!#REF!</f>
        <v>#REF!</v>
      </c>
      <c r="AO71" s="67" t="e">
        <f>'1.Лок.смета.и.Акт'!#REF!</f>
        <v>#REF!</v>
      </c>
      <c r="AP71">
        <v>0</v>
      </c>
      <c r="AQ71">
        <f>'2.Лок.смета.и.Акт в ЕР'!E234</f>
        <v>12.53</v>
      </c>
      <c r="AR71">
        <v>2.62</v>
      </c>
      <c r="AS71">
        <v>0</v>
      </c>
      <c r="AT71">
        <v>92</v>
      </c>
      <c r="AU71">
        <v>46</v>
      </c>
      <c r="AV71">
        <v>1</v>
      </c>
      <c r="AW71">
        <v>1</v>
      </c>
      <c r="AZ71">
        <v>1</v>
      </c>
      <c r="BA71" t="e">
        <f>'1.Лок.смета.и.Акт'!#REF!</f>
        <v>#REF!</v>
      </c>
      <c r="BB71" t="e">
        <f>'1.Лок.смета.и.Акт'!#REF!</f>
        <v>#REF!</v>
      </c>
      <c r="BC71">
        <v>9.11</v>
      </c>
      <c r="BD71" t="s">
        <v>6</v>
      </c>
      <c r="BE71" t="s">
        <v>6</v>
      </c>
      <c r="BF71" t="s">
        <v>6</v>
      </c>
      <c r="BG71" t="s">
        <v>6</v>
      </c>
      <c r="BH71">
        <v>0</v>
      </c>
      <c r="BI71">
        <v>1</v>
      </c>
      <c r="BJ71" t="s">
        <v>217</v>
      </c>
      <c r="BM71">
        <v>1001</v>
      </c>
      <c r="BN71">
        <v>0</v>
      </c>
      <c r="BO71" t="s">
        <v>6</v>
      </c>
      <c r="BP71">
        <v>0</v>
      </c>
      <c r="BQ71">
        <v>2</v>
      </c>
      <c r="BR71">
        <v>0</v>
      </c>
      <c r="BS71" t="e">
        <f>'1.Лок.смета.и.Акт'!#REF!</f>
        <v>#REF!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6</v>
      </c>
      <c r="BZ71">
        <v>92</v>
      </c>
      <c r="CA71">
        <v>46</v>
      </c>
      <c r="CB71" t="s">
        <v>6</v>
      </c>
      <c r="CE71">
        <v>0</v>
      </c>
      <c r="CF71">
        <v>0</v>
      </c>
      <c r="CG71">
        <v>0</v>
      </c>
      <c r="CM71">
        <v>0</v>
      </c>
      <c r="CN71" t="s">
        <v>6</v>
      </c>
      <c r="CO71">
        <v>0</v>
      </c>
      <c r="CP71" t="e">
        <f t="shared" si="39"/>
        <v>#REF!</v>
      </c>
      <c r="CQ71">
        <f t="shared" si="62"/>
        <v>0</v>
      </c>
      <c r="CR71" t="e">
        <f t="shared" si="63"/>
        <v>#REF!</v>
      </c>
      <c r="CS71" t="e">
        <f t="shared" si="42"/>
        <v>#REF!</v>
      </c>
      <c r="CT71" t="e">
        <f t="shared" si="43"/>
        <v>#REF!</v>
      </c>
      <c r="CU71">
        <f t="shared" si="44"/>
        <v>0</v>
      </c>
      <c r="CV71">
        <f t="shared" si="45"/>
        <v>12.53</v>
      </c>
      <c r="CW71">
        <f t="shared" si="46"/>
        <v>2.62</v>
      </c>
      <c r="CX71">
        <f t="shared" si="47"/>
        <v>0</v>
      </c>
      <c r="CY71" t="e">
        <f>(((S71+R71)*AT71)/100)</f>
        <v>#REF!</v>
      </c>
      <c r="CZ71" t="e">
        <f>(((S71+R71)*AU71)/100)</f>
        <v>#REF!</v>
      </c>
      <c r="DC71" t="s">
        <v>6</v>
      </c>
      <c r="DD71" t="s">
        <v>6</v>
      </c>
      <c r="DE71" t="s">
        <v>6</v>
      </c>
      <c r="DF71" t="s">
        <v>6</v>
      </c>
      <c r="DG71" t="s">
        <v>6</v>
      </c>
      <c r="DH71" t="s">
        <v>6</v>
      </c>
      <c r="DI71" t="s">
        <v>6</v>
      </c>
      <c r="DJ71" t="s">
        <v>6</v>
      </c>
      <c r="DK71" t="s">
        <v>6</v>
      </c>
      <c r="DL71" t="s">
        <v>6</v>
      </c>
      <c r="DM71" t="s">
        <v>6</v>
      </c>
      <c r="DN71">
        <v>0</v>
      </c>
      <c r="DO71">
        <v>0</v>
      </c>
      <c r="DP71">
        <v>1</v>
      </c>
      <c r="DQ71">
        <v>1</v>
      </c>
      <c r="DU71">
        <v>1007</v>
      </c>
      <c r="DV71" t="s">
        <v>58</v>
      </c>
      <c r="DW71" t="str">
        <f>'2.Лок.смета.и.Акт в ЕР'!D227</f>
        <v>100 м3</v>
      </c>
      <c r="DX71">
        <v>100</v>
      </c>
      <c r="DZ71" t="s">
        <v>6</v>
      </c>
      <c r="EA71" t="s">
        <v>6</v>
      </c>
      <c r="EB71" t="s">
        <v>6</v>
      </c>
      <c r="EC71" t="s">
        <v>6</v>
      </c>
      <c r="EE71">
        <v>59670271</v>
      </c>
      <c r="EF71">
        <v>2</v>
      </c>
      <c r="EG71" t="s">
        <v>23</v>
      </c>
      <c r="EH71">
        <v>1</v>
      </c>
      <c r="EI71" t="s">
        <v>24</v>
      </c>
      <c r="EJ71">
        <v>1</v>
      </c>
      <c r="EK71">
        <v>1001</v>
      </c>
      <c r="EL71" t="s">
        <v>25</v>
      </c>
      <c r="EM71" t="s">
        <v>26</v>
      </c>
      <c r="EO71" t="s">
        <v>6</v>
      </c>
      <c r="EQ71">
        <v>131072</v>
      </c>
      <c r="ER71" t="e">
        <f>ES71+ET71+EV71</f>
        <v>#REF!</v>
      </c>
      <c r="ES71">
        <v>0</v>
      </c>
      <c r="ET71" s="67" t="e">
        <f>'1.Лок.смета.и.Акт'!#REF!</f>
        <v>#REF!</v>
      </c>
      <c r="EU71" s="67" t="e">
        <f>'1.Лок.смета.и.Акт'!#REF!</f>
        <v>#REF!</v>
      </c>
      <c r="EV71" s="67" t="e">
        <f>'1.Лок.смета.и.Акт'!#REF!</f>
        <v>#REF!</v>
      </c>
      <c r="EW71">
        <f>'2.Лок.смета.и.Акт в ЕР'!E234</f>
        <v>12.53</v>
      </c>
      <c r="EX71">
        <v>2.62</v>
      </c>
      <c r="EY71">
        <v>0</v>
      </c>
      <c r="FQ71">
        <v>0</v>
      </c>
      <c r="FR71">
        <f t="shared" si="16"/>
        <v>0</v>
      </c>
      <c r="FS71">
        <v>0</v>
      </c>
      <c r="FX71">
        <v>92</v>
      </c>
      <c r="FY71">
        <v>46</v>
      </c>
      <c r="GA71" t="s">
        <v>6</v>
      </c>
      <c r="GD71">
        <v>1</v>
      </c>
      <c r="GF71">
        <v>-480167143</v>
      </c>
      <c r="GG71">
        <v>2</v>
      </c>
      <c r="GH71">
        <v>1</v>
      </c>
      <c r="GI71">
        <v>4</v>
      </c>
      <c r="GJ71">
        <v>0</v>
      </c>
      <c r="GK71">
        <v>0</v>
      </c>
      <c r="GL71">
        <f t="shared" si="17"/>
        <v>0</v>
      </c>
      <c r="GM71" t="e">
        <f t="shared" si="48"/>
        <v>#REF!</v>
      </c>
      <c r="GN71" t="e">
        <f t="shared" si="18"/>
        <v>#REF!</v>
      </c>
      <c r="GO71">
        <f t="shared" si="19"/>
        <v>0</v>
      </c>
      <c r="GP71">
        <f t="shared" si="20"/>
        <v>0</v>
      </c>
      <c r="GR71">
        <v>0</v>
      </c>
      <c r="GS71">
        <v>3</v>
      </c>
      <c r="GT71">
        <v>0</v>
      </c>
      <c r="GU71" t="s">
        <v>6</v>
      </c>
      <c r="GV71">
        <f t="shared" si="49"/>
        <v>0</v>
      </c>
      <c r="GW71">
        <v>1</v>
      </c>
      <c r="GX71">
        <f t="shared" si="50"/>
        <v>0</v>
      </c>
      <c r="HA71">
        <v>0</v>
      </c>
      <c r="HB71">
        <v>0</v>
      </c>
      <c r="HC71">
        <f t="shared" si="51"/>
        <v>0</v>
      </c>
      <c r="HE71" t="s">
        <v>6</v>
      </c>
      <c r="HF71" t="s">
        <v>6</v>
      </c>
      <c r="HM71" t="s">
        <v>6</v>
      </c>
      <c r="HN71" t="s">
        <v>28</v>
      </c>
      <c r="HO71" t="s">
        <v>29</v>
      </c>
      <c r="HP71" t="s">
        <v>25</v>
      </c>
      <c r="HQ71" t="s">
        <v>25</v>
      </c>
      <c r="IF71">
        <v>-1</v>
      </c>
      <c r="IK71">
        <v>0</v>
      </c>
      <c r="IL71" t="s">
        <v>524</v>
      </c>
      <c r="IM71">
        <v>15.07</v>
      </c>
    </row>
    <row r="72" spans="1:247" x14ac:dyDescent="0.2">
      <c r="IF72">
        <v>-1</v>
      </c>
    </row>
    <row r="73" spans="1:247" x14ac:dyDescent="0.2">
      <c r="A73" s="2">
        <v>51</v>
      </c>
      <c r="B73" s="2">
        <f>B20</f>
        <v>1</v>
      </c>
      <c r="C73" s="2">
        <f>A20</f>
        <v>3</v>
      </c>
      <c r="D73" s="2">
        <f>ROW(A20)</f>
        <v>20</v>
      </c>
      <c r="E73" s="2"/>
      <c r="F73" s="2" t="str">
        <f>IF(F20&lt;&gt;"",F20,"")</f>
        <v>6.3.5</v>
      </c>
      <c r="G73" s="2" t="str">
        <f>IF(G20&lt;&gt;"",G20,"")</f>
        <v>Наружные сети ливневой канализации К-2</v>
      </c>
      <c r="H73" s="2">
        <v>0</v>
      </c>
      <c r="I73" s="2"/>
      <c r="J73" s="2"/>
      <c r="K73" s="2"/>
      <c r="L73" s="2"/>
      <c r="M73" s="2"/>
      <c r="N73" s="2"/>
      <c r="O73" s="2" t="e">
        <f t="shared" ref="O73:T73" si="64">ROUND(AB73,2)</f>
        <v>#REF!</v>
      </c>
      <c r="P73" s="2" t="e">
        <f t="shared" si="64"/>
        <v>#REF!</v>
      </c>
      <c r="Q73" s="2" t="e">
        <f t="shared" si="64"/>
        <v>#REF!</v>
      </c>
      <c r="R73" s="2" t="e">
        <f t="shared" si="64"/>
        <v>#REF!</v>
      </c>
      <c r="S73" s="2" t="e">
        <f t="shared" si="64"/>
        <v>#REF!</v>
      </c>
      <c r="T73" s="2">
        <f t="shared" si="64"/>
        <v>0</v>
      </c>
      <c r="U73" s="2">
        <f>AH73</f>
        <v>1298.145164</v>
      </c>
      <c r="V73" s="2">
        <f>AI73</f>
        <v>227.79489799999999</v>
      </c>
      <c r="W73" s="2">
        <f>ROUND(AJ73,2)</f>
        <v>0</v>
      </c>
      <c r="X73" s="2" t="e">
        <f>ROUND(AK73,2)</f>
        <v>#REF!</v>
      </c>
      <c r="Y73" s="2" t="e">
        <f>ROUND(AL73,2)</f>
        <v>#REF!</v>
      </c>
      <c r="Z73" s="2"/>
      <c r="AA73" s="2"/>
      <c r="AB73" s="2" t="e">
        <f>ROUND(SUMIF(AA24:AA71,"=67643165",O24:O71),2)</f>
        <v>#REF!</v>
      </c>
      <c r="AC73" s="2" t="e">
        <f>ROUND(SUMIF(AA24:AA71,"=67643165",P24:P71),2)</f>
        <v>#REF!</v>
      </c>
      <c r="AD73" s="2" t="e">
        <f>ROUND(SUMIF(AA24:AA71,"=67643165",Q24:Q71),2)</f>
        <v>#REF!</v>
      </c>
      <c r="AE73" s="2" t="e">
        <f>ROUND(SUMIF(AA24:AA71,"=67643165",R24:R71),2)</f>
        <v>#REF!</v>
      </c>
      <c r="AF73" s="2" t="e">
        <f>ROUND(SUMIF(AA24:AA71,"=67643165",S24:S71),2)</f>
        <v>#REF!</v>
      </c>
      <c r="AG73" s="2">
        <f>ROUND(SUMIF(AA24:AA71,"=67643165",T24:T71),2)</f>
        <v>0</v>
      </c>
      <c r="AH73" s="2">
        <f>SUMIF(AA24:AA71,"=67643165",U24:U71)</f>
        <v>1298.145164</v>
      </c>
      <c r="AI73" s="2">
        <f>SUMIF(AA24:AA71,"=67643165",V24:V71)</f>
        <v>227.79489799999999</v>
      </c>
      <c r="AJ73" s="2">
        <f>ROUND(SUMIF(AA24:AA71,"=67643165",W24:W71),2)</f>
        <v>0</v>
      </c>
      <c r="AK73" s="2" t="e">
        <f>ROUND(SUMIF(AA24:AA71,"=67643165",X24:X71),2)</f>
        <v>#REF!</v>
      </c>
      <c r="AL73" s="2" t="e">
        <f>ROUND(SUMIF(AA24:AA71,"=67643165",Y24:Y71),2)</f>
        <v>#REF!</v>
      </c>
      <c r="AM73" s="2"/>
      <c r="AN73" s="2"/>
      <c r="AO73" s="2">
        <f t="shared" ref="AO73:BD73" si="65">ROUND(BX73,2)</f>
        <v>0</v>
      </c>
      <c r="AP73" s="2">
        <f t="shared" si="65"/>
        <v>0</v>
      </c>
      <c r="AQ73" s="2">
        <f t="shared" si="65"/>
        <v>0</v>
      </c>
      <c r="AR73" s="2" t="e">
        <f t="shared" si="65"/>
        <v>#REF!</v>
      </c>
      <c r="AS73" s="2" t="e">
        <f t="shared" si="65"/>
        <v>#REF!</v>
      </c>
      <c r="AT73" s="2" t="e">
        <f t="shared" si="65"/>
        <v>#REF!</v>
      </c>
      <c r="AU73" s="2" t="e">
        <f t="shared" si="65"/>
        <v>#REF!</v>
      </c>
      <c r="AV73" s="2" t="e">
        <f t="shared" si="65"/>
        <v>#REF!</v>
      </c>
      <c r="AW73" s="2" t="e">
        <f t="shared" si="65"/>
        <v>#REF!</v>
      </c>
      <c r="AX73" s="2">
        <f t="shared" si="65"/>
        <v>0</v>
      </c>
      <c r="AY73" s="2" t="e">
        <f t="shared" si="65"/>
        <v>#REF!</v>
      </c>
      <c r="AZ73" s="2">
        <f t="shared" si="65"/>
        <v>0</v>
      </c>
      <c r="BA73" s="2">
        <f t="shared" si="65"/>
        <v>0</v>
      </c>
      <c r="BB73" s="2">
        <f t="shared" si="65"/>
        <v>0</v>
      </c>
      <c r="BC73" s="2">
        <f t="shared" si="65"/>
        <v>0</v>
      </c>
      <c r="BD73" s="2" t="e">
        <f t="shared" si="65"/>
        <v>#REF!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>
        <f>ROUND(SUMIF(AA24:AA71,"=67643165",FQ24:FQ71),2)</f>
        <v>0</v>
      </c>
      <c r="BY73" s="2">
        <f>ROUND(SUMIF(AA24:AA71,"=67643165",FR24:FR71),2)</f>
        <v>0</v>
      </c>
      <c r="BZ73" s="2">
        <f>ROUND(SUMIF(AA24:AA71,"=67643165",GL24:GL71),2)</f>
        <v>0</v>
      </c>
      <c r="CA73" s="2" t="e">
        <f>ROUND(SUMIF(AA24:AA71,"=67643165",GM24:GM71),2)</f>
        <v>#REF!</v>
      </c>
      <c r="CB73" s="2" t="e">
        <f>ROUND(SUMIF(AA24:AA71,"=67643165",GN24:GN71),2)</f>
        <v>#REF!</v>
      </c>
      <c r="CC73" s="2" t="e">
        <f>ROUND(SUMIF(AA24:AA71,"=67643165",GO24:GO71),2)</f>
        <v>#REF!</v>
      </c>
      <c r="CD73" s="2" t="e">
        <f>ROUND(SUMIF(AA24:AA71,"=67643165",GP24:GP71),2)</f>
        <v>#REF!</v>
      </c>
      <c r="CE73" s="2" t="e">
        <f>AC73-BX73</f>
        <v>#REF!</v>
      </c>
      <c r="CF73" s="2" t="e">
        <f>AC73-BY73</f>
        <v>#REF!</v>
      </c>
      <c r="CG73" s="2">
        <f>BX73-BZ73</f>
        <v>0</v>
      </c>
      <c r="CH73" s="2" t="e">
        <f>AC73-BX73-BY73+BZ73</f>
        <v>#REF!</v>
      </c>
      <c r="CI73" s="2">
        <f>BY73-BZ73</f>
        <v>0</v>
      </c>
      <c r="CJ73" s="2">
        <f>ROUND(SUMIF(AA24:AA71,"=67643165",GX24:GX71),2)</f>
        <v>0</v>
      </c>
      <c r="CK73" s="2">
        <f>ROUND(SUMIF(AA24:AA71,"=67643165",GY24:GY71),2)</f>
        <v>0</v>
      </c>
      <c r="CL73" s="2">
        <f>ROUND(SUMIF(AA24:AA71,"=67643165",GZ24:GZ71),2)</f>
        <v>0</v>
      </c>
      <c r="CM73" s="2" t="e">
        <f>ROUND(SUMIF(AA24:AA71,"=67643165",HD24:HD71),2)</f>
        <v>#REF!</v>
      </c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  <c r="IF73">
        <v>-1</v>
      </c>
    </row>
    <row r="74" spans="1:247" x14ac:dyDescent="0.2">
      <c r="IF74">
        <v>-1</v>
      </c>
    </row>
    <row r="75" spans="1:247" x14ac:dyDescent="0.2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 t="e">
        <f>ROUND(Source!O73,O75)</f>
        <v>#REF!</v>
      </c>
      <c r="G75" s="4" t="s">
        <v>218</v>
      </c>
      <c r="H75" s="4" t="s">
        <v>219</v>
      </c>
      <c r="I75" s="4"/>
      <c r="J75" s="4"/>
      <c r="K75" s="4">
        <v>201</v>
      </c>
      <c r="L75" s="4">
        <v>1</v>
      </c>
      <c r="M75" s="4">
        <v>3</v>
      </c>
      <c r="N75" s="4" t="s">
        <v>6</v>
      </c>
      <c r="O75" s="4">
        <v>2</v>
      </c>
      <c r="P75" s="4"/>
      <c r="Q75" s="4"/>
      <c r="R75" s="4"/>
      <c r="S75" s="4"/>
      <c r="T75" s="4"/>
      <c r="U75" s="4"/>
      <c r="V75" s="4"/>
      <c r="W75" s="4">
        <v>2382647.4899999998</v>
      </c>
      <c r="X75" s="4">
        <v>1</v>
      </c>
      <c r="Y75" s="4">
        <v>2382647.4899999998</v>
      </c>
      <c r="Z75" s="4"/>
      <c r="AA75" s="4"/>
      <c r="AB75" s="4"/>
      <c r="IF75">
        <v>-1</v>
      </c>
    </row>
    <row r="76" spans="1:247" x14ac:dyDescent="0.2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 t="e">
        <f>ROUND(Source!P73,O76)</f>
        <v>#REF!</v>
      </c>
      <c r="G76" s="4" t="s">
        <v>220</v>
      </c>
      <c r="H76" s="4" t="s">
        <v>221</v>
      </c>
      <c r="I76" s="4"/>
      <c r="J76" s="4"/>
      <c r="K76" s="4">
        <v>202</v>
      </c>
      <c r="L76" s="4">
        <v>2</v>
      </c>
      <c r="M76" s="4">
        <v>3</v>
      </c>
      <c r="N76" s="4" t="s">
        <v>6</v>
      </c>
      <c r="O76" s="4">
        <v>2</v>
      </c>
      <c r="P76" s="4"/>
      <c r="Q76" s="4"/>
      <c r="R76" s="4"/>
      <c r="S76" s="4"/>
      <c r="T76" s="4"/>
      <c r="U76" s="4"/>
      <c r="V76" s="4"/>
      <c r="W76" s="4">
        <v>1617668.65</v>
      </c>
      <c r="X76" s="4">
        <v>1</v>
      </c>
      <c r="Y76" s="4">
        <v>1617668.65</v>
      </c>
      <c r="Z76" s="4"/>
      <c r="AA76" s="4"/>
      <c r="AB76" s="4"/>
      <c r="IF76">
        <v>-1</v>
      </c>
    </row>
    <row r="77" spans="1:247" x14ac:dyDescent="0.2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222</v>
      </c>
      <c r="H77" s="4" t="s">
        <v>223</v>
      </c>
      <c r="I77" s="4"/>
      <c r="J77" s="4"/>
      <c r="K77" s="4">
        <v>222</v>
      </c>
      <c r="L77" s="4">
        <v>3</v>
      </c>
      <c r="M77" s="4">
        <v>3</v>
      </c>
      <c r="N77" s="4" t="s">
        <v>6</v>
      </c>
      <c r="O77" s="4">
        <v>2</v>
      </c>
      <c r="P77" s="4"/>
      <c r="Q77" s="4"/>
      <c r="R77" s="4"/>
      <c r="S77" s="4"/>
      <c r="T77" s="4"/>
      <c r="U77" s="4"/>
      <c r="V77" s="4"/>
      <c r="W77" s="4">
        <v>0</v>
      </c>
      <c r="X77" s="4">
        <v>1</v>
      </c>
      <c r="Y77" s="4">
        <v>0</v>
      </c>
      <c r="Z77" s="4"/>
      <c r="AA77" s="4"/>
      <c r="AB77" s="4"/>
      <c r="IF77">
        <v>-1</v>
      </c>
    </row>
    <row r="78" spans="1:247" x14ac:dyDescent="0.2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 t="e">
        <f>ROUND(Source!AV73,O78)</f>
        <v>#REF!</v>
      </c>
      <c r="G78" s="4" t="s">
        <v>224</v>
      </c>
      <c r="H78" s="4" t="s">
        <v>225</v>
      </c>
      <c r="I78" s="4"/>
      <c r="J78" s="4"/>
      <c r="K78" s="4">
        <v>225</v>
      </c>
      <c r="L78" s="4">
        <v>4</v>
      </c>
      <c r="M78" s="4">
        <v>3</v>
      </c>
      <c r="N78" s="4" t="s">
        <v>6</v>
      </c>
      <c r="O78" s="4">
        <v>2</v>
      </c>
      <c r="P78" s="4"/>
      <c r="Q78" s="4"/>
      <c r="R78" s="4"/>
      <c r="S78" s="4"/>
      <c r="T78" s="4"/>
      <c r="U78" s="4"/>
      <c r="V78" s="4"/>
      <c r="W78" s="4">
        <v>1617668.65</v>
      </c>
      <c r="X78" s="4">
        <v>1</v>
      </c>
      <c r="Y78" s="4">
        <v>1617668.65</v>
      </c>
      <c r="Z78" s="4"/>
      <c r="AA78" s="4"/>
      <c r="AB78" s="4"/>
      <c r="IF78">
        <v>-1</v>
      </c>
    </row>
    <row r="79" spans="1:247" x14ac:dyDescent="0.2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 t="e">
        <f>ROUND(Source!AW73,O79)</f>
        <v>#REF!</v>
      </c>
      <c r="G79" s="4" t="s">
        <v>226</v>
      </c>
      <c r="H79" s="4" t="s">
        <v>227</v>
      </c>
      <c r="I79" s="4"/>
      <c r="J79" s="4"/>
      <c r="K79" s="4">
        <v>226</v>
      </c>
      <c r="L79" s="4">
        <v>5</v>
      </c>
      <c r="M79" s="4">
        <v>3</v>
      </c>
      <c r="N79" s="4" t="s">
        <v>6</v>
      </c>
      <c r="O79" s="4">
        <v>2</v>
      </c>
      <c r="P79" s="4"/>
      <c r="Q79" s="4"/>
      <c r="R79" s="4"/>
      <c r="S79" s="4"/>
      <c r="T79" s="4"/>
      <c r="U79" s="4"/>
      <c r="V79" s="4"/>
      <c r="W79" s="4">
        <v>1617668.65</v>
      </c>
      <c r="X79" s="4">
        <v>1</v>
      </c>
      <c r="Y79" s="4">
        <v>1617668.65</v>
      </c>
      <c r="Z79" s="4"/>
      <c r="AA79" s="4"/>
      <c r="AB79" s="4"/>
      <c r="IF79">
        <v>-1</v>
      </c>
    </row>
    <row r="80" spans="1:247" x14ac:dyDescent="0.2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228</v>
      </c>
      <c r="H80" s="4" t="s">
        <v>229</v>
      </c>
      <c r="I80" s="4"/>
      <c r="J80" s="4"/>
      <c r="K80" s="4">
        <v>227</v>
      </c>
      <c r="L80" s="4">
        <v>6</v>
      </c>
      <c r="M80" s="4">
        <v>3</v>
      </c>
      <c r="N80" s="4" t="s">
        <v>6</v>
      </c>
      <c r="O80" s="4">
        <v>2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  <c r="IF80">
        <v>-1</v>
      </c>
    </row>
    <row r="81" spans="1:240" x14ac:dyDescent="0.2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 t="e">
        <f>ROUND(Source!AY73,O81)</f>
        <v>#REF!</v>
      </c>
      <c r="G81" s="4" t="s">
        <v>230</v>
      </c>
      <c r="H81" s="4" t="s">
        <v>231</v>
      </c>
      <c r="I81" s="4"/>
      <c r="J81" s="4"/>
      <c r="K81" s="4">
        <v>228</v>
      </c>
      <c r="L81" s="4">
        <v>7</v>
      </c>
      <c r="M81" s="4">
        <v>3</v>
      </c>
      <c r="N81" s="4" t="s">
        <v>6</v>
      </c>
      <c r="O81" s="4">
        <v>2</v>
      </c>
      <c r="P81" s="4"/>
      <c r="Q81" s="4"/>
      <c r="R81" s="4"/>
      <c r="S81" s="4"/>
      <c r="T81" s="4"/>
      <c r="U81" s="4"/>
      <c r="V81" s="4"/>
      <c r="W81" s="4">
        <v>1617668.65</v>
      </c>
      <c r="X81" s="4">
        <v>1</v>
      </c>
      <c r="Y81" s="4">
        <v>1617668.65</v>
      </c>
      <c r="Z81" s="4"/>
      <c r="AA81" s="4"/>
      <c r="AB81" s="4"/>
      <c r="IF81">
        <v>-1</v>
      </c>
    </row>
    <row r="82" spans="1:240" x14ac:dyDescent="0.2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232</v>
      </c>
      <c r="H82" s="4" t="s">
        <v>233</v>
      </c>
      <c r="I82" s="4"/>
      <c r="J82" s="4"/>
      <c r="K82" s="4">
        <v>216</v>
      </c>
      <c r="L82" s="4">
        <v>8</v>
      </c>
      <c r="M82" s="4">
        <v>3</v>
      </c>
      <c r="N82" s="4" t="s">
        <v>6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  <c r="IF82">
        <v>-1</v>
      </c>
    </row>
    <row r="83" spans="1:240" x14ac:dyDescent="0.2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234</v>
      </c>
      <c r="H83" s="4" t="s">
        <v>235</v>
      </c>
      <c r="I83" s="4"/>
      <c r="J83" s="4"/>
      <c r="K83" s="4">
        <v>223</v>
      </c>
      <c r="L83" s="4">
        <v>9</v>
      </c>
      <c r="M83" s="4">
        <v>3</v>
      </c>
      <c r="N83" s="4" t="s">
        <v>6</v>
      </c>
      <c r="O83" s="4">
        <v>2</v>
      </c>
      <c r="P83" s="4"/>
      <c r="Q83" s="4"/>
      <c r="R83" s="4"/>
      <c r="S83" s="4"/>
      <c r="T83" s="4"/>
      <c r="U83" s="4"/>
      <c r="V83" s="4"/>
      <c r="W83" s="4">
        <v>0</v>
      </c>
      <c r="X83" s="4">
        <v>1</v>
      </c>
      <c r="Y83" s="4">
        <v>0</v>
      </c>
      <c r="Z83" s="4"/>
      <c r="AA83" s="4"/>
      <c r="AB83" s="4"/>
      <c r="IF83">
        <v>-1</v>
      </c>
    </row>
    <row r="84" spans="1:240" x14ac:dyDescent="0.2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236</v>
      </c>
      <c r="H84" s="4" t="s">
        <v>237</v>
      </c>
      <c r="I84" s="4"/>
      <c r="J84" s="4"/>
      <c r="K84" s="4">
        <v>229</v>
      </c>
      <c r="L84" s="4">
        <v>10</v>
      </c>
      <c r="M84" s="4">
        <v>3</v>
      </c>
      <c r="N84" s="4" t="s">
        <v>6</v>
      </c>
      <c r="O84" s="4">
        <v>2</v>
      </c>
      <c r="P84" s="4"/>
      <c r="Q84" s="4"/>
      <c r="R84" s="4"/>
      <c r="S84" s="4"/>
      <c r="T84" s="4"/>
      <c r="U84" s="4"/>
      <c r="V84" s="4"/>
      <c r="W84" s="4">
        <v>0</v>
      </c>
      <c r="X84" s="4">
        <v>1</v>
      </c>
      <c r="Y84" s="4">
        <v>0</v>
      </c>
      <c r="Z84" s="4"/>
      <c r="AA84" s="4"/>
      <c r="AB84" s="4"/>
      <c r="IF84">
        <v>-1</v>
      </c>
    </row>
    <row r="85" spans="1:240" x14ac:dyDescent="0.2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 t="e">
        <f>ROUND(Source!Q73,O85)</f>
        <v>#REF!</v>
      </c>
      <c r="G85" s="4" t="s">
        <v>238</v>
      </c>
      <c r="H85" s="4" t="s">
        <v>239</v>
      </c>
      <c r="I85" s="4"/>
      <c r="J85" s="4"/>
      <c r="K85" s="4">
        <v>203</v>
      </c>
      <c r="L85" s="4">
        <v>11</v>
      </c>
      <c r="M85" s="4">
        <v>3</v>
      </c>
      <c r="N85" s="4" t="s">
        <v>6</v>
      </c>
      <c r="O85" s="4">
        <v>2</v>
      </c>
      <c r="P85" s="4"/>
      <c r="Q85" s="4"/>
      <c r="R85" s="4"/>
      <c r="S85" s="4"/>
      <c r="T85" s="4"/>
      <c r="U85" s="4"/>
      <c r="V85" s="4"/>
      <c r="W85" s="4">
        <v>307765.56</v>
      </c>
      <c r="X85" s="4">
        <v>1</v>
      </c>
      <c r="Y85" s="4">
        <v>307765.56</v>
      </c>
      <c r="Z85" s="4"/>
      <c r="AA85" s="4"/>
      <c r="AB85" s="4"/>
      <c r="IF85">
        <v>-1</v>
      </c>
    </row>
    <row r="86" spans="1:240" x14ac:dyDescent="0.2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240</v>
      </c>
      <c r="H86" s="4" t="s">
        <v>241</v>
      </c>
      <c r="I86" s="4"/>
      <c r="J86" s="4"/>
      <c r="K86" s="4">
        <v>231</v>
      </c>
      <c r="L86" s="4">
        <v>12</v>
      </c>
      <c r="M86" s="4">
        <v>3</v>
      </c>
      <c r="N86" s="4" t="s">
        <v>6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  <c r="IF86">
        <v>-1</v>
      </c>
    </row>
    <row r="87" spans="1:240" x14ac:dyDescent="0.2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 t="e">
        <f>ROUND(Source!R73,O87)</f>
        <v>#REF!</v>
      </c>
      <c r="G87" s="4" t="s">
        <v>242</v>
      </c>
      <c r="H87" s="4" t="s">
        <v>243</v>
      </c>
      <c r="I87" s="4"/>
      <c r="J87" s="4"/>
      <c r="K87" s="4">
        <v>204</v>
      </c>
      <c r="L87" s="4">
        <v>13</v>
      </c>
      <c r="M87" s="4">
        <v>3</v>
      </c>
      <c r="N87" s="4" t="s">
        <v>6</v>
      </c>
      <c r="O87" s="4">
        <v>2</v>
      </c>
      <c r="P87" s="4"/>
      <c r="Q87" s="4"/>
      <c r="R87" s="4"/>
      <c r="S87" s="4"/>
      <c r="T87" s="4"/>
      <c r="U87" s="4"/>
      <c r="V87" s="4"/>
      <c r="W87" s="4">
        <v>96400.640000000014</v>
      </c>
      <c r="X87" s="4">
        <v>1</v>
      </c>
      <c r="Y87" s="4">
        <v>96400.640000000014</v>
      </c>
      <c r="Z87" s="4"/>
      <c r="AA87" s="4"/>
      <c r="AB87" s="4"/>
      <c r="IF87">
        <v>-1</v>
      </c>
    </row>
    <row r="88" spans="1:240" x14ac:dyDescent="0.2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 t="e">
        <f>ROUND(Source!S73,O88)</f>
        <v>#REF!</v>
      </c>
      <c r="G88" s="4" t="s">
        <v>244</v>
      </c>
      <c r="H88" s="4" t="s">
        <v>245</v>
      </c>
      <c r="I88" s="4"/>
      <c r="J88" s="4"/>
      <c r="K88" s="4">
        <v>205</v>
      </c>
      <c r="L88" s="4">
        <v>14</v>
      </c>
      <c r="M88" s="4">
        <v>3</v>
      </c>
      <c r="N88" s="4" t="s">
        <v>6</v>
      </c>
      <c r="O88" s="4">
        <v>2</v>
      </c>
      <c r="P88" s="4"/>
      <c r="Q88" s="4"/>
      <c r="R88" s="4"/>
      <c r="S88" s="4"/>
      <c r="T88" s="4"/>
      <c r="U88" s="4"/>
      <c r="V88" s="4"/>
      <c r="W88" s="4">
        <v>365377.17000000004</v>
      </c>
      <c r="X88" s="4">
        <v>1</v>
      </c>
      <c r="Y88" s="4">
        <v>365377.17000000004</v>
      </c>
      <c r="Z88" s="4"/>
      <c r="AA88" s="4"/>
      <c r="AB88" s="4"/>
      <c r="IF88">
        <v>-1</v>
      </c>
    </row>
    <row r="89" spans="1:240" x14ac:dyDescent="0.2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246</v>
      </c>
      <c r="H89" s="4" t="s">
        <v>247</v>
      </c>
      <c r="I89" s="4"/>
      <c r="J89" s="4"/>
      <c r="K89" s="4">
        <v>232</v>
      </c>
      <c r="L89" s="4">
        <v>15</v>
      </c>
      <c r="M89" s="4">
        <v>3</v>
      </c>
      <c r="N89" s="4" t="s">
        <v>6</v>
      </c>
      <c r="O89" s="4">
        <v>2</v>
      </c>
      <c r="P89" s="4"/>
      <c r="Q89" s="4"/>
      <c r="R89" s="4"/>
      <c r="S89" s="4"/>
      <c r="T89" s="4"/>
      <c r="U89" s="4"/>
      <c r="V89" s="4"/>
      <c r="W89" s="4">
        <v>0</v>
      </c>
      <c r="X89" s="4">
        <v>1</v>
      </c>
      <c r="Y89" s="4">
        <v>0</v>
      </c>
      <c r="Z89" s="4"/>
      <c r="AA89" s="4"/>
      <c r="AB89" s="4"/>
      <c r="IF89">
        <v>-1</v>
      </c>
    </row>
    <row r="90" spans="1:240" x14ac:dyDescent="0.2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 t="e">
        <f>ROUND(Source!AS73,O90)</f>
        <v>#REF!</v>
      </c>
      <c r="G90" s="4" t="s">
        <v>248</v>
      </c>
      <c r="H90" s="4" t="s">
        <v>249</v>
      </c>
      <c r="I90" s="4"/>
      <c r="J90" s="4"/>
      <c r="K90" s="4">
        <v>214</v>
      </c>
      <c r="L90" s="4">
        <v>16</v>
      </c>
      <c r="M90" s="4">
        <v>3</v>
      </c>
      <c r="N90" s="4" t="s">
        <v>6</v>
      </c>
      <c r="O90" s="4">
        <v>2</v>
      </c>
      <c r="P90" s="4"/>
      <c r="Q90" s="4"/>
      <c r="R90" s="4"/>
      <c r="S90" s="4"/>
      <c r="T90" s="4"/>
      <c r="U90" s="4"/>
      <c r="V90" s="4"/>
      <c r="W90" s="4">
        <v>2421535.64</v>
      </c>
      <c r="X90" s="4">
        <v>1</v>
      </c>
      <c r="Y90" s="4">
        <v>2421535.64</v>
      </c>
      <c r="Z90" s="4"/>
      <c r="AA90" s="4"/>
      <c r="AB90" s="4"/>
      <c r="IF90">
        <v>-1</v>
      </c>
    </row>
    <row r="91" spans="1:240" x14ac:dyDescent="0.2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 t="e">
        <f>ROUND(Source!AT73,O91)</f>
        <v>#REF!</v>
      </c>
      <c r="G91" s="4" t="s">
        <v>250</v>
      </c>
      <c r="H91" s="4" t="s">
        <v>251</v>
      </c>
      <c r="I91" s="4"/>
      <c r="J91" s="4"/>
      <c r="K91" s="4">
        <v>215</v>
      </c>
      <c r="L91" s="4">
        <v>17</v>
      </c>
      <c r="M91" s="4">
        <v>3</v>
      </c>
      <c r="N91" s="4" t="s">
        <v>6</v>
      </c>
      <c r="O91" s="4">
        <v>2</v>
      </c>
      <c r="P91" s="4"/>
      <c r="Q91" s="4"/>
      <c r="R91" s="4"/>
      <c r="S91" s="4"/>
      <c r="T91" s="4"/>
      <c r="U91" s="4"/>
      <c r="V91" s="4"/>
      <c r="W91" s="4">
        <v>23869.49</v>
      </c>
      <c r="X91" s="4">
        <v>1</v>
      </c>
      <c r="Y91" s="4">
        <v>23869.49</v>
      </c>
      <c r="Z91" s="4"/>
      <c r="AA91" s="4"/>
      <c r="AB91" s="4"/>
      <c r="IF91">
        <v>-1</v>
      </c>
    </row>
    <row r="92" spans="1:240" x14ac:dyDescent="0.2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 t="e">
        <f>ROUND(Source!AU73,O92)</f>
        <v>#REF!</v>
      </c>
      <c r="G92" s="4" t="s">
        <v>252</v>
      </c>
      <c r="H92" s="4" t="s">
        <v>253</v>
      </c>
      <c r="I92" s="4"/>
      <c r="J92" s="4"/>
      <c r="K92" s="4">
        <v>217</v>
      </c>
      <c r="L92" s="4">
        <v>18</v>
      </c>
      <c r="M92" s="4">
        <v>3</v>
      </c>
      <c r="N92" s="4" t="s">
        <v>6</v>
      </c>
      <c r="O92" s="4">
        <v>2</v>
      </c>
      <c r="P92" s="4"/>
      <c r="Q92" s="4"/>
      <c r="R92" s="4"/>
      <c r="S92" s="4"/>
      <c r="T92" s="4"/>
      <c r="U92" s="4"/>
      <c r="V92" s="4"/>
      <c r="W92" s="4">
        <v>692265.17</v>
      </c>
      <c r="X92" s="4">
        <v>1</v>
      </c>
      <c r="Y92" s="4">
        <v>692265.17</v>
      </c>
      <c r="Z92" s="4"/>
      <c r="AA92" s="4"/>
      <c r="AB92" s="4"/>
      <c r="IF92">
        <v>-1</v>
      </c>
    </row>
    <row r="93" spans="1:240" x14ac:dyDescent="0.2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254</v>
      </c>
      <c r="H93" s="4" t="s">
        <v>255</v>
      </c>
      <c r="I93" s="4"/>
      <c r="J93" s="4"/>
      <c r="K93" s="4">
        <v>230</v>
      </c>
      <c r="L93" s="4">
        <v>19</v>
      </c>
      <c r="M93" s="4">
        <v>3</v>
      </c>
      <c r="N93" s="4" t="s">
        <v>6</v>
      </c>
      <c r="O93" s="4">
        <v>2</v>
      </c>
      <c r="P93" s="4"/>
      <c r="Q93" s="4"/>
      <c r="R93" s="4"/>
      <c r="S93" s="4"/>
      <c r="T93" s="4"/>
      <c r="U93" s="4"/>
      <c r="V93" s="4"/>
      <c r="W93" s="4">
        <v>0</v>
      </c>
      <c r="X93" s="4">
        <v>1</v>
      </c>
      <c r="Y93" s="4">
        <v>0</v>
      </c>
      <c r="Z93" s="4"/>
      <c r="AA93" s="4"/>
      <c r="AB93" s="4"/>
      <c r="IF93">
        <v>-1</v>
      </c>
    </row>
    <row r="94" spans="1:240" x14ac:dyDescent="0.2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256</v>
      </c>
      <c r="H94" s="4" t="s">
        <v>257</v>
      </c>
      <c r="I94" s="4"/>
      <c r="J94" s="4"/>
      <c r="K94" s="4">
        <v>206</v>
      </c>
      <c r="L94" s="4">
        <v>20</v>
      </c>
      <c r="M94" s="4">
        <v>3</v>
      </c>
      <c r="N94" s="4" t="s">
        <v>6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  <c r="IF94">
        <v>-1</v>
      </c>
    </row>
    <row r="95" spans="1:240" x14ac:dyDescent="0.2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ROUND(Source!U73,O95)</f>
        <v>1298.145164</v>
      </c>
      <c r="G95" s="4" t="s">
        <v>258</v>
      </c>
      <c r="H95" s="4" t="s">
        <v>259</v>
      </c>
      <c r="I95" s="4"/>
      <c r="J95" s="4"/>
      <c r="K95" s="4">
        <v>207</v>
      </c>
      <c r="L95" s="4">
        <v>21</v>
      </c>
      <c r="M95" s="4">
        <v>3</v>
      </c>
      <c r="N95" s="4" t="s">
        <v>6</v>
      </c>
      <c r="O95" s="4">
        <v>7</v>
      </c>
      <c r="P95" s="4"/>
      <c r="Q95" s="4"/>
      <c r="R95" s="4"/>
      <c r="S95" s="4"/>
      <c r="T95" s="4"/>
      <c r="U95" s="4"/>
      <c r="V95" s="4"/>
      <c r="W95" s="4">
        <v>1298.145164</v>
      </c>
      <c r="X95" s="4">
        <v>1</v>
      </c>
      <c r="Y95" s="4">
        <v>1298.145164</v>
      </c>
      <c r="Z95" s="4"/>
      <c r="AA95" s="4"/>
      <c r="AB95" s="4"/>
      <c r="IF95">
        <v>-1</v>
      </c>
    </row>
    <row r="96" spans="1:240" x14ac:dyDescent="0.2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ROUND(Source!V73,O96)</f>
        <v>227.79489799999999</v>
      </c>
      <c r="G96" s="4" t="s">
        <v>260</v>
      </c>
      <c r="H96" s="4" t="s">
        <v>261</v>
      </c>
      <c r="I96" s="4"/>
      <c r="J96" s="4"/>
      <c r="K96" s="4">
        <v>208</v>
      </c>
      <c r="L96" s="4">
        <v>22</v>
      </c>
      <c r="M96" s="4">
        <v>3</v>
      </c>
      <c r="N96" s="4" t="s">
        <v>6</v>
      </c>
      <c r="O96" s="4">
        <v>7</v>
      </c>
      <c r="P96" s="4"/>
      <c r="Q96" s="4"/>
      <c r="R96" s="4"/>
      <c r="S96" s="4"/>
      <c r="T96" s="4"/>
      <c r="U96" s="4"/>
      <c r="V96" s="4"/>
      <c r="W96" s="4">
        <v>227.79489799999999</v>
      </c>
      <c r="X96" s="4">
        <v>1</v>
      </c>
      <c r="Y96" s="4">
        <v>227.79489799999999</v>
      </c>
      <c r="Z96" s="4"/>
      <c r="AA96" s="4"/>
      <c r="AB96" s="4"/>
      <c r="IF96">
        <v>-1</v>
      </c>
    </row>
    <row r="97" spans="1:240" x14ac:dyDescent="0.2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0</v>
      </c>
      <c r="G97" s="4" t="s">
        <v>262</v>
      </c>
      <c r="H97" s="4" t="s">
        <v>263</v>
      </c>
      <c r="I97" s="4"/>
      <c r="J97" s="4"/>
      <c r="K97" s="4">
        <v>209</v>
      </c>
      <c r="L97" s="4">
        <v>23</v>
      </c>
      <c r="M97" s="4">
        <v>3</v>
      </c>
      <c r="N97" s="4" t="s">
        <v>6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  <c r="IF97">
        <v>-1</v>
      </c>
    </row>
    <row r="98" spans="1:240" x14ac:dyDescent="0.2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 t="e">
        <f>ROUND(Source!BD73,O98)</f>
        <v>#REF!</v>
      </c>
      <c r="G98" s="4" t="s">
        <v>264</v>
      </c>
      <c r="H98" s="4" t="s">
        <v>265</v>
      </c>
      <c r="I98" s="4"/>
      <c r="J98" s="4"/>
      <c r="K98" s="4">
        <v>233</v>
      </c>
      <c r="L98" s="4">
        <v>24</v>
      </c>
      <c r="M98" s="4">
        <v>3</v>
      </c>
      <c r="N98" s="4" t="s">
        <v>6</v>
      </c>
      <c r="O98" s="4">
        <v>2</v>
      </c>
      <c r="P98" s="4"/>
      <c r="Q98" s="4"/>
      <c r="R98" s="4"/>
      <c r="S98" s="4"/>
      <c r="T98" s="4"/>
      <c r="U98" s="4"/>
      <c r="V98" s="4"/>
      <c r="W98" s="4">
        <v>91836.11</v>
      </c>
      <c r="X98" s="4">
        <v>1</v>
      </c>
      <c r="Y98" s="4">
        <v>91836.11</v>
      </c>
      <c r="Z98" s="4"/>
      <c r="AA98" s="4"/>
      <c r="AB98" s="4"/>
      <c r="IF98">
        <v>-1</v>
      </c>
    </row>
    <row r="99" spans="1:240" x14ac:dyDescent="0.2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 t="e">
        <f>ROUND(Source!X73,O99)</f>
        <v>#REF!</v>
      </c>
      <c r="G99" s="4" t="s">
        <v>266</v>
      </c>
      <c r="H99" s="4" t="s">
        <v>267</v>
      </c>
      <c r="I99" s="4"/>
      <c r="J99" s="4"/>
      <c r="K99" s="4">
        <v>210</v>
      </c>
      <c r="L99" s="4">
        <v>25</v>
      </c>
      <c r="M99" s="4">
        <v>3</v>
      </c>
      <c r="N99" s="4" t="s">
        <v>6</v>
      </c>
      <c r="O99" s="4">
        <v>2</v>
      </c>
      <c r="P99" s="4"/>
      <c r="Q99" s="4"/>
      <c r="R99" s="4"/>
      <c r="S99" s="4"/>
      <c r="T99" s="4"/>
      <c r="U99" s="4"/>
      <c r="V99" s="4"/>
      <c r="W99" s="4">
        <v>481525.89</v>
      </c>
      <c r="X99" s="4">
        <v>1</v>
      </c>
      <c r="Y99" s="4">
        <v>481525.89</v>
      </c>
      <c r="Z99" s="4"/>
      <c r="AA99" s="4"/>
      <c r="AB99" s="4"/>
      <c r="IF99">
        <v>-1</v>
      </c>
    </row>
    <row r="100" spans="1:240" x14ac:dyDescent="0.2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 t="e">
        <f>ROUND(Source!Y73,O100)</f>
        <v>#REF!</v>
      </c>
      <c r="G100" s="4" t="s">
        <v>268</v>
      </c>
      <c r="H100" s="4" t="s">
        <v>269</v>
      </c>
      <c r="I100" s="4"/>
      <c r="J100" s="4"/>
      <c r="K100" s="4">
        <v>211</v>
      </c>
      <c r="L100" s="4">
        <v>26</v>
      </c>
      <c r="M100" s="4">
        <v>3</v>
      </c>
      <c r="N100" s="4" t="s">
        <v>6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273496.92</v>
      </c>
      <c r="X100" s="4">
        <v>1</v>
      </c>
      <c r="Y100" s="4">
        <v>273496.92</v>
      </c>
      <c r="Z100" s="4"/>
      <c r="AA100" s="4"/>
      <c r="AB100" s="4"/>
      <c r="IF100">
        <v>-1</v>
      </c>
    </row>
    <row r="101" spans="1:240" x14ac:dyDescent="0.2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 t="e">
        <f>ROUND(Source!AR73,O101)</f>
        <v>#REF!</v>
      </c>
      <c r="G101" s="4" t="s">
        <v>270</v>
      </c>
      <c r="H101" s="4" t="s">
        <v>271</v>
      </c>
      <c r="I101" s="4"/>
      <c r="J101" s="4"/>
      <c r="K101" s="4">
        <v>224</v>
      </c>
      <c r="L101" s="4">
        <v>27</v>
      </c>
      <c r="M101" s="4">
        <v>3</v>
      </c>
      <c r="N101" s="4" t="s">
        <v>6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3137670.3</v>
      </c>
      <c r="X101" s="4">
        <v>1</v>
      </c>
      <c r="Y101" s="4">
        <v>3137670.3</v>
      </c>
      <c r="Z101" s="4"/>
      <c r="AA101" s="4"/>
      <c r="AB101" s="4"/>
      <c r="IF101">
        <v>-1</v>
      </c>
    </row>
    <row r="102" spans="1:240" x14ac:dyDescent="0.2">
      <c r="IF102">
        <v>-1</v>
      </c>
    </row>
    <row r="103" spans="1:240" x14ac:dyDescent="0.2">
      <c r="A103" s="2">
        <v>51</v>
      </c>
      <c r="B103" s="2">
        <f>B12</f>
        <v>159</v>
      </c>
      <c r="C103" s="2">
        <f>A12</f>
        <v>1</v>
      </c>
      <c r="D103" s="2">
        <f>ROW(A12)</f>
        <v>12</v>
      </c>
      <c r="E103" s="2"/>
      <c r="F103" s="2" t="str">
        <f>IF(F12&lt;&gt;"",F12,"")</f>
        <v>6.3.5   Устройство внутриплощ. наружных сетей ливневой канализации П</v>
      </c>
      <c r="G103" s="2" t="str">
        <f>IF(G12&lt;&gt;"",G12,"")</f>
        <v>Комплекс из двух многоквартирных домов поз.1 и поз.2 со втроенными нежилыми помещениями по ул. 50 лет НЛМК в г. Липецке на земельном участке с кадастровым номером 48:20:0045902:1438. 1-й этап строительства - корпус 1 (поз.1) (корректировка)</v>
      </c>
      <c r="H103" s="2">
        <v>0</v>
      </c>
      <c r="I103" s="2"/>
      <c r="J103" s="2"/>
      <c r="K103" s="2"/>
      <c r="L103" s="2"/>
      <c r="M103" s="2"/>
      <c r="N103" s="2"/>
      <c r="O103" s="2" t="e">
        <f t="shared" ref="O103:T103" si="66">ROUND(O73,2)</f>
        <v>#REF!</v>
      </c>
      <c r="P103" s="2" t="e">
        <f t="shared" si="66"/>
        <v>#REF!</v>
      </c>
      <c r="Q103" s="2" t="e">
        <f t="shared" si="66"/>
        <v>#REF!</v>
      </c>
      <c r="R103" s="2" t="e">
        <f t="shared" si="66"/>
        <v>#REF!</v>
      </c>
      <c r="S103" s="2" t="e">
        <f t="shared" si="66"/>
        <v>#REF!</v>
      </c>
      <c r="T103" s="2">
        <f t="shared" si="66"/>
        <v>0</v>
      </c>
      <c r="U103" s="2">
        <f>U73</f>
        <v>1298.145164</v>
      </c>
      <c r="V103" s="2">
        <f>V73</f>
        <v>227.79489799999999</v>
      </c>
      <c r="W103" s="2">
        <f>ROUND(W73,2)</f>
        <v>0</v>
      </c>
      <c r="X103" s="2" t="e">
        <f>ROUND(X73,2)</f>
        <v>#REF!</v>
      </c>
      <c r="Y103" s="2" t="e">
        <f>ROUND(Y73,2)</f>
        <v>#REF!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>
        <f t="shared" ref="AO103:BD103" si="67">ROUND(AO73,2)</f>
        <v>0</v>
      </c>
      <c r="AP103" s="2">
        <f t="shared" si="67"/>
        <v>0</v>
      </c>
      <c r="AQ103" s="2">
        <f t="shared" si="67"/>
        <v>0</v>
      </c>
      <c r="AR103" s="2" t="e">
        <f t="shared" si="67"/>
        <v>#REF!</v>
      </c>
      <c r="AS103" s="2" t="e">
        <f t="shared" si="67"/>
        <v>#REF!</v>
      </c>
      <c r="AT103" s="2" t="e">
        <f t="shared" si="67"/>
        <v>#REF!</v>
      </c>
      <c r="AU103" s="2" t="e">
        <f t="shared" si="67"/>
        <v>#REF!</v>
      </c>
      <c r="AV103" s="2" t="e">
        <f t="shared" si="67"/>
        <v>#REF!</v>
      </c>
      <c r="AW103" s="2" t="e">
        <f t="shared" si="67"/>
        <v>#REF!</v>
      </c>
      <c r="AX103" s="2">
        <f t="shared" si="67"/>
        <v>0</v>
      </c>
      <c r="AY103" s="2" t="e">
        <f t="shared" si="67"/>
        <v>#REF!</v>
      </c>
      <c r="AZ103" s="2">
        <f t="shared" si="67"/>
        <v>0</v>
      </c>
      <c r="BA103" s="2">
        <f t="shared" si="67"/>
        <v>0</v>
      </c>
      <c r="BB103" s="2">
        <f t="shared" si="67"/>
        <v>0</v>
      </c>
      <c r="BC103" s="2">
        <f t="shared" si="67"/>
        <v>0</v>
      </c>
      <c r="BD103" s="2" t="e">
        <f t="shared" si="67"/>
        <v>#REF!</v>
      </c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>
        <v>0</v>
      </c>
      <c r="IF103">
        <v>-1</v>
      </c>
    </row>
    <row r="104" spans="1:240" x14ac:dyDescent="0.2">
      <c r="IF104">
        <v>-1</v>
      </c>
    </row>
    <row r="105" spans="1:240" x14ac:dyDescent="0.2">
      <c r="A105" s="4">
        <v>50</v>
      </c>
      <c r="B105" s="4">
        <v>0</v>
      </c>
      <c r="C105" s="4">
        <v>0</v>
      </c>
      <c r="D105" s="4">
        <v>1</v>
      </c>
      <c r="E105" s="4">
        <v>201</v>
      </c>
      <c r="F105" s="4" t="e">
        <f>ROUND(Source!O103,O105)</f>
        <v>#REF!</v>
      </c>
      <c r="G105" s="4" t="s">
        <v>218</v>
      </c>
      <c r="H105" s="4" t="s">
        <v>219</v>
      </c>
      <c r="I105" s="4"/>
      <c r="J105" s="4"/>
      <c r="K105" s="4">
        <v>201</v>
      </c>
      <c r="L105" s="4">
        <v>1</v>
      </c>
      <c r="M105" s="4">
        <v>3</v>
      </c>
      <c r="N105" s="4" t="s">
        <v>6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2382647.4899999998</v>
      </c>
      <c r="X105" s="4">
        <v>1</v>
      </c>
      <c r="Y105" s="4">
        <v>2382647.4899999998</v>
      </c>
      <c r="Z105" s="4"/>
      <c r="AA105" s="4"/>
      <c r="AB105" s="4"/>
      <c r="IF105">
        <v>-1</v>
      </c>
    </row>
    <row r="106" spans="1:240" x14ac:dyDescent="0.2">
      <c r="A106" s="4">
        <v>50</v>
      </c>
      <c r="B106" s="4">
        <v>0</v>
      </c>
      <c r="C106" s="4">
        <v>0</v>
      </c>
      <c r="D106" s="4">
        <v>1</v>
      </c>
      <c r="E106" s="4">
        <v>202</v>
      </c>
      <c r="F106" s="4" t="e">
        <f>ROUND(Source!P103,O106)</f>
        <v>#REF!</v>
      </c>
      <c r="G106" s="4" t="s">
        <v>220</v>
      </c>
      <c r="H106" s="4" t="s">
        <v>221</v>
      </c>
      <c r="I106" s="4"/>
      <c r="J106" s="4"/>
      <c r="K106" s="4">
        <v>202</v>
      </c>
      <c r="L106" s="4">
        <v>2</v>
      </c>
      <c r="M106" s="4">
        <v>3</v>
      </c>
      <c r="N106" s="4" t="s">
        <v>6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1617668.65</v>
      </c>
      <c r="X106" s="4">
        <v>1</v>
      </c>
      <c r="Y106" s="4">
        <v>1617668.65</v>
      </c>
      <c r="Z106" s="4"/>
      <c r="AA106" s="4"/>
      <c r="AB106" s="4"/>
      <c r="IF106">
        <v>-1</v>
      </c>
    </row>
    <row r="107" spans="1:240" x14ac:dyDescent="0.2">
      <c r="A107" s="4">
        <v>50</v>
      </c>
      <c r="B107" s="4">
        <v>0</v>
      </c>
      <c r="C107" s="4">
        <v>0</v>
      </c>
      <c r="D107" s="4">
        <v>1</v>
      </c>
      <c r="E107" s="4">
        <v>222</v>
      </c>
      <c r="F107" s="4">
        <f>ROUND(Source!AO103,O107)</f>
        <v>0</v>
      </c>
      <c r="G107" s="4" t="s">
        <v>222</v>
      </c>
      <c r="H107" s="4" t="s">
        <v>223</v>
      </c>
      <c r="I107" s="4"/>
      <c r="J107" s="4"/>
      <c r="K107" s="4">
        <v>222</v>
      </c>
      <c r="L107" s="4">
        <v>3</v>
      </c>
      <c r="M107" s="4">
        <v>3</v>
      </c>
      <c r="N107" s="4" t="s">
        <v>6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0</v>
      </c>
      <c r="X107" s="4">
        <v>1</v>
      </c>
      <c r="Y107" s="4">
        <v>0</v>
      </c>
      <c r="Z107" s="4"/>
      <c r="AA107" s="4"/>
      <c r="AB107" s="4"/>
      <c r="IF107">
        <v>-1</v>
      </c>
    </row>
    <row r="108" spans="1:240" x14ac:dyDescent="0.2">
      <c r="A108" s="4">
        <v>50</v>
      </c>
      <c r="B108" s="4">
        <v>0</v>
      </c>
      <c r="C108" s="4">
        <v>0</v>
      </c>
      <c r="D108" s="4">
        <v>1</v>
      </c>
      <c r="E108" s="4">
        <v>225</v>
      </c>
      <c r="F108" s="4" t="e">
        <f>ROUND(Source!AV103,O108)</f>
        <v>#REF!</v>
      </c>
      <c r="G108" s="4" t="s">
        <v>224</v>
      </c>
      <c r="H108" s="4" t="s">
        <v>225</v>
      </c>
      <c r="I108" s="4"/>
      <c r="J108" s="4"/>
      <c r="K108" s="4">
        <v>225</v>
      </c>
      <c r="L108" s="4">
        <v>4</v>
      </c>
      <c r="M108" s="4">
        <v>3</v>
      </c>
      <c r="N108" s="4" t="s">
        <v>6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1617668.65</v>
      </c>
      <c r="X108" s="4">
        <v>1</v>
      </c>
      <c r="Y108" s="4">
        <v>1617668.65</v>
      </c>
      <c r="Z108" s="4"/>
      <c r="AA108" s="4"/>
      <c r="AB108" s="4"/>
      <c r="IF108">
        <v>-1</v>
      </c>
    </row>
    <row r="109" spans="1:240" x14ac:dyDescent="0.2">
      <c r="A109" s="4">
        <v>50</v>
      </c>
      <c r="B109" s="4">
        <v>0</v>
      </c>
      <c r="C109" s="4">
        <v>0</v>
      </c>
      <c r="D109" s="4">
        <v>1</v>
      </c>
      <c r="E109" s="4">
        <v>226</v>
      </c>
      <c r="F109" s="4" t="e">
        <f>ROUND(Source!AW103,O109)</f>
        <v>#REF!</v>
      </c>
      <c r="G109" s="4" t="s">
        <v>226</v>
      </c>
      <c r="H109" s="4" t="s">
        <v>227</v>
      </c>
      <c r="I109" s="4"/>
      <c r="J109" s="4"/>
      <c r="K109" s="4">
        <v>226</v>
      </c>
      <c r="L109" s="4">
        <v>5</v>
      </c>
      <c r="M109" s="4">
        <v>3</v>
      </c>
      <c r="N109" s="4" t="s">
        <v>6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1617668.65</v>
      </c>
      <c r="X109" s="4">
        <v>1</v>
      </c>
      <c r="Y109" s="4">
        <v>1617668.65</v>
      </c>
      <c r="Z109" s="4"/>
      <c r="AA109" s="4"/>
      <c r="AB109" s="4"/>
      <c r="IF109">
        <v>-1</v>
      </c>
    </row>
    <row r="110" spans="1:240" x14ac:dyDescent="0.2">
      <c r="A110" s="4">
        <v>50</v>
      </c>
      <c r="B110" s="4">
        <v>0</v>
      </c>
      <c r="C110" s="4">
        <v>0</v>
      </c>
      <c r="D110" s="4">
        <v>1</v>
      </c>
      <c r="E110" s="4">
        <v>227</v>
      </c>
      <c r="F110" s="4">
        <f>ROUND(Source!AX103,O110)</f>
        <v>0</v>
      </c>
      <c r="G110" s="4" t="s">
        <v>228</v>
      </c>
      <c r="H110" s="4" t="s">
        <v>229</v>
      </c>
      <c r="I110" s="4"/>
      <c r="J110" s="4"/>
      <c r="K110" s="4">
        <v>227</v>
      </c>
      <c r="L110" s="4">
        <v>6</v>
      </c>
      <c r="M110" s="4">
        <v>3</v>
      </c>
      <c r="N110" s="4" t="s">
        <v>6</v>
      </c>
      <c r="O110" s="4">
        <v>2</v>
      </c>
      <c r="P110" s="4"/>
      <c r="Q110" s="4"/>
      <c r="R110" s="4"/>
      <c r="S110" s="4"/>
      <c r="T110" s="4"/>
      <c r="U110" s="4"/>
      <c r="V110" s="4"/>
      <c r="W110" s="4">
        <v>0</v>
      </c>
      <c r="X110" s="4">
        <v>1</v>
      </c>
      <c r="Y110" s="4">
        <v>0</v>
      </c>
      <c r="Z110" s="4"/>
      <c r="AA110" s="4"/>
      <c r="AB110" s="4"/>
      <c r="IF110">
        <v>-1</v>
      </c>
    </row>
    <row r="111" spans="1:240" x14ac:dyDescent="0.2">
      <c r="A111" s="4">
        <v>50</v>
      </c>
      <c r="B111" s="4">
        <v>0</v>
      </c>
      <c r="C111" s="4">
        <v>0</v>
      </c>
      <c r="D111" s="4">
        <v>1</v>
      </c>
      <c r="E111" s="4">
        <v>228</v>
      </c>
      <c r="F111" s="4" t="e">
        <f>ROUND(Source!AY103,O111)</f>
        <v>#REF!</v>
      </c>
      <c r="G111" s="4" t="s">
        <v>230</v>
      </c>
      <c r="H111" s="4" t="s">
        <v>231</v>
      </c>
      <c r="I111" s="4"/>
      <c r="J111" s="4"/>
      <c r="K111" s="4">
        <v>228</v>
      </c>
      <c r="L111" s="4">
        <v>7</v>
      </c>
      <c r="M111" s="4">
        <v>3</v>
      </c>
      <c r="N111" s="4" t="s">
        <v>6</v>
      </c>
      <c r="O111" s="4">
        <v>2</v>
      </c>
      <c r="P111" s="4"/>
      <c r="Q111" s="4"/>
      <c r="R111" s="4"/>
      <c r="S111" s="4"/>
      <c r="T111" s="4"/>
      <c r="U111" s="4"/>
      <c r="V111" s="4"/>
      <c r="W111" s="4">
        <v>1617668.65</v>
      </c>
      <c r="X111" s="4">
        <v>1</v>
      </c>
      <c r="Y111" s="4">
        <v>1617668.65</v>
      </c>
      <c r="Z111" s="4"/>
      <c r="AA111" s="4"/>
      <c r="AB111" s="4"/>
      <c r="IF111">
        <v>-1</v>
      </c>
    </row>
    <row r="112" spans="1:240" x14ac:dyDescent="0.2">
      <c r="A112" s="4">
        <v>50</v>
      </c>
      <c r="B112" s="4">
        <v>0</v>
      </c>
      <c r="C112" s="4">
        <v>0</v>
      </c>
      <c r="D112" s="4">
        <v>1</v>
      </c>
      <c r="E112" s="4">
        <v>216</v>
      </c>
      <c r="F112" s="4">
        <f>ROUND(Source!AP103,O112)</f>
        <v>0</v>
      </c>
      <c r="G112" s="4" t="s">
        <v>232</v>
      </c>
      <c r="H112" s="4" t="s">
        <v>233</v>
      </c>
      <c r="I112" s="4"/>
      <c r="J112" s="4"/>
      <c r="K112" s="4">
        <v>216</v>
      </c>
      <c r="L112" s="4">
        <v>8</v>
      </c>
      <c r="M112" s="4">
        <v>3</v>
      </c>
      <c r="N112" s="4" t="s">
        <v>6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0</v>
      </c>
      <c r="X112" s="4">
        <v>1</v>
      </c>
      <c r="Y112" s="4">
        <v>0</v>
      </c>
      <c r="Z112" s="4"/>
      <c r="AA112" s="4"/>
      <c r="AB112" s="4"/>
      <c r="IF112">
        <v>-1</v>
      </c>
    </row>
    <row r="113" spans="1:240" x14ac:dyDescent="0.2">
      <c r="A113" s="4">
        <v>50</v>
      </c>
      <c r="B113" s="4">
        <v>0</v>
      </c>
      <c r="C113" s="4">
        <v>0</v>
      </c>
      <c r="D113" s="4">
        <v>1</v>
      </c>
      <c r="E113" s="4">
        <v>223</v>
      </c>
      <c r="F113" s="4">
        <f>ROUND(Source!AQ103,O113)</f>
        <v>0</v>
      </c>
      <c r="G113" s="4" t="s">
        <v>234</v>
      </c>
      <c r="H113" s="4" t="s">
        <v>235</v>
      </c>
      <c r="I113" s="4"/>
      <c r="J113" s="4"/>
      <c r="K113" s="4">
        <v>223</v>
      </c>
      <c r="L113" s="4">
        <v>9</v>
      </c>
      <c r="M113" s="4">
        <v>3</v>
      </c>
      <c r="N113" s="4" t="s">
        <v>6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0</v>
      </c>
      <c r="X113" s="4">
        <v>1</v>
      </c>
      <c r="Y113" s="4">
        <v>0</v>
      </c>
      <c r="Z113" s="4"/>
      <c r="AA113" s="4"/>
      <c r="AB113" s="4"/>
      <c r="IF113">
        <v>-1</v>
      </c>
    </row>
    <row r="114" spans="1:240" x14ac:dyDescent="0.2">
      <c r="A114" s="4">
        <v>50</v>
      </c>
      <c r="B114" s="4">
        <v>0</v>
      </c>
      <c r="C114" s="4">
        <v>0</v>
      </c>
      <c r="D114" s="4">
        <v>1</v>
      </c>
      <c r="E114" s="4">
        <v>229</v>
      </c>
      <c r="F114" s="4">
        <f>ROUND(Source!AZ103,O114)</f>
        <v>0</v>
      </c>
      <c r="G114" s="4" t="s">
        <v>236</v>
      </c>
      <c r="H114" s="4" t="s">
        <v>237</v>
      </c>
      <c r="I114" s="4"/>
      <c r="J114" s="4"/>
      <c r="K114" s="4">
        <v>229</v>
      </c>
      <c r="L114" s="4">
        <v>10</v>
      </c>
      <c r="M114" s="4">
        <v>3</v>
      </c>
      <c r="N114" s="4" t="s">
        <v>6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0</v>
      </c>
      <c r="X114" s="4">
        <v>1</v>
      </c>
      <c r="Y114" s="4">
        <v>0</v>
      </c>
      <c r="Z114" s="4"/>
      <c r="AA114" s="4"/>
      <c r="AB114" s="4"/>
      <c r="IF114">
        <v>-1</v>
      </c>
    </row>
    <row r="115" spans="1:240" x14ac:dyDescent="0.2">
      <c r="A115" s="4">
        <v>50</v>
      </c>
      <c r="B115" s="4">
        <v>0</v>
      </c>
      <c r="C115" s="4">
        <v>0</v>
      </c>
      <c r="D115" s="4">
        <v>1</v>
      </c>
      <c r="E115" s="4">
        <v>203</v>
      </c>
      <c r="F115" s="4" t="e">
        <f>ROUND(Source!Q103,O115)</f>
        <v>#REF!</v>
      </c>
      <c r="G115" s="4" t="s">
        <v>238</v>
      </c>
      <c r="H115" s="4" t="s">
        <v>239</v>
      </c>
      <c r="I115" s="4"/>
      <c r="J115" s="4"/>
      <c r="K115" s="4">
        <v>203</v>
      </c>
      <c r="L115" s="4">
        <v>11</v>
      </c>
      <c r="M115" s="4">
        <v>3</v>
      </c>
      <c r="N115" s="4" t="s">
        <v>6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307765.56</v>
      </c>
      <c r="X115" s="4">
        <v>1</v>
      </c>
      <c r="Y115" s="4">
        <v>307765.56</v>
      </c>
      <c r="Z115" s="4"/>
      <c r="AA115" s="4"/>
      <c r="AB115" s="4"/>
      <c r="IF115">
        <v>-1</v>
      </c>
    </row>
    <row r="116" spans="1:240" x14ac:dyDescent="0.2">
      <c r="A116" s="4">
        <v>50</v>
      </c>
      <c r="B116" s="4">
        <v>0</v>
      </c>
      <c r="C116" s="4">
        <v>0</v>
      </c>
      <c r="D116" s="4">
        <v>1</v>
      </c>
      <c r="E116" s="4">
        <v>231</v>
      </c>
      <c r="F116" s="4">
        <f>ROUND(Source!BB103,O116)</f>
        <v>0</v>
      </c>
      <c r="G116" s="4" t="s">
        <v>240</v>
      </c>
      <c r="H116" s="4" t="s">
        <v>241</v>
      </c>
      <c r="I116" s="4"/>
      <c r="J116" s="4"/>
      <c r="K116" s="4">
        <v>231</v>
      </c>
      <c r="L116" s="4">
        <v>12</v>
      </c>
      <c r="M116" s="4">
        <v>3</v>
      </c>
      <c r="N116" s="4" t="s">
        <v>6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0</v>
      </c>
      <c r="X116" s="4">
        <v>1</v>
      </c>
      <c r="Y116" s="4">
        <v>0</v>
      </c>
      <c r="Z116" s="4"/>
      <c r="AA116" s="4"/>
      <c r="AB116" s="4"/>
      <c r="IF116">
        <v>-1</v>
      </c>
    </row>
    <row r="117" spans="1:240" x14ac:dyDescent="0.2">
      <c r="A117" s="4">
        <v>50</v>
      </c>
      <c r="B117" s="4">
        <v>0</v>
      </c>
      <c r="C117" s="4">
        <v>0</v>
      </c>
      <c r="D117" s="4">
        <v>1</v>
      </c>
      <c r="E117" s="4">
        <v>204</v>
      </c>
      <c r="F117" s="4" t="e">
        <f>ROUND(Source!R103,O117)</f>
        <v>#REF!</v>
      </c>
      <c r="G117" s="4" t="s">
        <v>242</v>
      </c>
      <c r="H117" s="4" t="s">
        <v>243</v>
      </c>
      <c r="I117" s="4"/>
      <c r="J117" s="4"/>
      <c r="K117" s="4">
        <v>204</v>
      </c>
      <c r="L117" s="4">
        <v>13</v>
      </c>
      <c r="M117" s="4">
        <v>3</v>
      </c>
      <c r="N117" s="4" t="s">
        <v>6</v>
      </c>
      <c r="O117" s="4">
        <v>2</v>
      </c>
      <c r="P117" s="4"/>
      <c r="Q117" s="4"/>
      <c r="R117" s="4"/>
      <c r="S117" s="4"/>
      <c r="T117" s="4"/>
      <c r="U117" s="4"/>
      <c r="V117" s="4"/>
      <c r="W117" s="4">
        <v>96400.640000000014</v>
      </c>
      <c r="X117" s="4">
        <v>1</v>
      </c>
      <c r="Y117" s="4">
        <v>96400.640000000014</v>
      </c>
      <c r="Z117" s="4"/>
      <c r="AA117" s="4"/>
      <c r="AB117" s="4"/>
      <c r="IF117">
        <v>-1</v>
      </c>
    </row>
    <row r="118" spans="1:240" x14ac:dyDescent="0.2">
      <c r="A118" s="4">
        <v>50</v>
      </c>
      <c r="B118" s="4">
        <v>0</v>
      </c>
      <c r="C118" s="4">
        <v>0</v>
      </c>
      <c r="D118" s="4">
        <v>1</v>
      </c>
      <c r="E118" s="4">
        <v>205</v>
      </c>
      <c r="F118" s="4" t="e">
        <f>ROUND(Source!S103,O118)</f>
        <v>#REF!</v>
      </c>
      <c r="G118" s="4" t="s">
        <v>244</v>
      </c>
      <c r="H118" s="4" t="s">
        <v>245</v>
      </c>
      <c r="I118" s="4"/>
      <c r="J118" s="4"/>
      <c r="K118" s="4">
        <v>205</v>
      </c>
      <c r="L118" s="4">
        <v>14</v>
      </c>
      <c r="M118" s="4">
        <v>3</v>
      </c>
      <c r="N118" s="4" t="s">
        <v>6</v>
      </c>
      <c r="O118" s="4">
        <v>2</v>
      </c>
      <c r="P118" s="4"/>
      <c r="Q118" s="4"/>
      <c r="R118" s="4"/>
      <c r="S118" s="4"/>
      <c r="T118" s="4"/>
      <c r="U118" s="4"/>
      <c r="V118" s="4"/>
      <c r="W118" s="4">
        <v>365377.17000000004</v>
      </c>
      <c r="X118" s="4">
        <v>1</v>
      </c>
      <c r="Y118" s="4">
        <v>365377.17000000004</v>
      </c>
      <c r="Z118" s="4"/>
      <c r="AA118" s="4"/>
      <c r="AB118" s="4"/>
      <c r="IF118">
        <v>-1</v>
      </c>
    </row>
    <row r="119" spans="1:240" x14ac:dyDescent="0.2">
      <c r="A119" s="4">
        <v>50</v>
      </c>
      <c r="B119" s="4">
        <v>0</v>
      </c>
      <c r="C119" s="4">
        <v>0</v>
      </c>
      <c r="D119" s="4">
        <v>1</v>
      </c>
      <c r="E119" s="4">
        <v>232</v>
      </c>
      <c r="F119" s="4">
        <f>ROUND(Source!BC103,O119)</f>
        <v>0</v>
      </c>
      <c r="G119" s="4" t="s">
        <v>246</v>
      </c>
      <c r="H119" s="4" t="s">
        <v>247</v>
      </c>
      <c r="I119" s="4"/>
      <c r="J119" s="4"/>
      <c r="K119" s="4">
        <v>232</v>
      </c>
      <c r="L119" s="4">
        <v>15</v>
      </c>
      <c r="M119" s="4">
        <v>3</v>
      </c>
      <c r="N119" s="4" t="s">
        <v>6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0</v>
      </c>
      <c r="X119" s="4">
        <v>1</v>
      </c>
      <c r="Y119" s="4">
        <v>0</v>
      </c>
      <c r="Z119" s="4"/>
      <c r="AA119" s="4"/>
      <c r="AB119" s="4"/>
      <c r="IF119">
        <v>-1</v>
      </c>
    </row>
    <row r="120" spans="1:240" x14ac:dyDescent="0.2">
      <c r="A120" s="4">
        <v>50</v>
      </c>
      <c r="B120" s="4">
        <v>0</v>
      </c>
      <c r="C120" s="4">
        <v>0</v>
      </c>
      <c r="D120" s="4">
        <v>1</v>
      </c>
      <c r="E120" s="4">
        <v>214</v>
      </c>
      <c r="F120" s="4" t="e">
        <f>ROUND(Source!AS103,O120)</f>
        <v>#REF!</v>
      </c>
      <c r="G120" s="4" t="s">
        <v>248</v>
      </c>
      <c r="H120" s="4" t="s">
        <v>249</v>
      </c>
      <c r="I120" s="4"/>
      <c r="J120" s="4"/>
      <c r="K120" s="4">
        <v>214</v>
      </c>
      <c r="L120" s="4">
        <v>16</v>
      </c>
      <c r="M120" s="4">
        <v>3</v>
      </c>
      <c r="N120" s="4" t="s">
        <v>6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2421535.64</v>
      </c>
      <c r="X120" s="4">
        <v>1</v>
      </c>
      <c r="Y120" s="4">
        <v>2421535.64</v>
      </c>
      <c r="Z120" s="4"/>
      <c r="AA120" s="4"/>
      <c r="AB120" s="4"/>
      <c r="IF120">
        <v>-1</v>
      </c>
    </row>
    <row r="121" spans="1:240" x14ac:dyDescent="0.2">
      <c r="A121" s="4">
        <v>50</v>
      </c>
      <c r="B121" s="4">
        <v>0</v>
      </c>
      <c r="C121" s="4">
        <v>0</v>
      </c>
      <c r="D121" s="4">
        <v>1</v>
      </c>
      <c r="E121" s="4">
        <v>215</v>
      </c>
      <c r="F121" s="4" t="e">
        <f>ROUND(Source!AT103,O121)</f>
        <v>#REF!</v>
      </c>
      <c r="G121" s="4" t="s">
        <v>250</v>
      </c>
      <c r="H121" s="4" t="s">
        <v>251</v>
      </c>
      <c r="I121" s="4"/>
      <c r="J121" s="4"/>
      <c r="K121" s="4">
        <v>215</v>
      </c>
      <c r="L121" s="4">
        <v>17</v>
      </c>
      <c r="M121" s="4">
        <v>3</v>
      </c>
      <c r="N121" s="4" t="s">
        <v>6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23869.49</v>
      </c>
      <c r="X121" s="4">
        <v>1</v>
      </c>
      <c r="Y121" s="4">
        <v>23869.49</v>
      </c>
      <c r="Z121" s="4"/>
      <c r="AA121" s="4"/>
      <c r="AB121" s="4"/>
      <c r="IF121">
        <v>-1</v>
      </c>
    </row>
    <row r="122" spans="1:240" x14ac:dyDescent="0.2">
      <c r="A122" s="4">
        <v>50</v>
      </c>
      <c r="B122" s="4">
        <v>0</v>
      </c>
      <c r="C122" s="4">
        <v>0</v>
      </c>
      <c r="D122" s="4">
        <v>1</v>
      </c>
      <c r="E122" s="4">
        <v>217</v>
      </c>
      <c r="F122" s="4" t="e">
        <f>ROUND(Source!AU103,O122)</f>
        <v>#REF!</v>
      </c>
      <c r="G122" s="4" t="s">
        <v>252</v>
      </c>
      <c r="H122" s="4" t="s">
        <v>253</v>
      </c>
      <c r="I122" s="4"/>
      <c r="J122" s="4"/>
      <c r="K122" s="4">
        <v>217</v>
      </c>
      <c r="L122" s="4">
        <v>18</v>
      </c>
      <c r="M122" s="4">
        <v>3</v>
      </c>
      <c r="N122" s="4" t="s">
        <v>6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692265.17</v>
      </c>
      <c r="X122" s="4">
        <v>1</v>
      </c>
      <c r="Y122" s="4">
        <v>692265.17</v>
      </c>
      <c r="Z122" s="4"/>
      <c r="AA122" s="4"/>
      <c r="AB122" s="4"/>
      <c r="IF122">
        <v>-1</v>
      </c>
    </row>
    <row r="123" spans="1:240" x14ac:dyDescent="0.2">
      <c r="A123" s="4">
        <v>50</v>
      </c>
      <c r="B123" s="4">
        <v>0</v>
      </c>
      <c r="C123" s="4">
        <v>0</v>
      </c>
      <c r="D123" s="4">
        <v>1</v>
      </c>
      <c r="E123" s="4">
        <v>230</v>
      </c>
      <c r="F123" s="4">
        <f>ROUND(Source!BA103,O123)</f>
        <v>0</v>
      </c>
      <c r="G123" s="4" t="s">
        <v>254</v>
      </c>
      <c r="H123" s="4" t="s">
        <v>255</v>
      </c>
      <c r="I123" s="4"/>
      <c r="J123" s="4"/>
      <c r="K123" s="4">
        <v>230</v>
      </c>
      <c r="L123" s="4">
        <v>19</v>
      </c>
      <c r="M123" s="4">
        <v>3</v>
      </c>
      <c r="N123" s="4" t="s">
        <v>6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0</v>
      </c>
      <c r="X123" s="4">
        <v>1</v>
      </c>
      <c r="Y123" s="4">
        <v>0</v>
      </c>
      <c r="Z123" s="4"/>
      <c r="AA123" s="4"/>
      <c r="AB123" s="4"/>
      <c r="IF123">
        <v>-1</v>
      </c>
    </row>
    <row r="124" spans="1:240" x14ac:dyDescent="0.2">
      <c r="A124" s="4">
        <v>50</v>
      </c>
      <c r="B124" s="4">
        <v>0</v>
      </c>
      <c r="C124" s="4">
        <v>0</v>
      </c>
      <c r="D124" s="4">
        <v>1</v>
      </c>
      <c r="E124" s="4">
        <v>206</v>
      </c>
      <c r="F124" s="4">
        <f>ROUND(Source!T103,O124)</f>
        <v>0</v>
      </c>
      <c r="G124" s="4" t="s">
        <v>256</v>
      </c>
      <c r="H124" s="4" t="s">
        <v>257</v>
      </c>
      <c r="I124" s="4"/>
      <c r="J124" s="4"/>
      <c r="K124" s="4">
        <v>206</v>
      </c>
      <c r="L124" s="4">
        <v>20</v>
      </c>
      <c r="M124" s="4">
        <v>3</v>
      </c>
      <c r="N124" s="4" t="s">
        <v>6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  <c r="IF124">
        <v>-1</v>
      </c>
    </row>
    <row r="125" spans="1:240" x14ac:dyDescent="0.2">
      <c r="A125" s="4">
        <v>50</v>
      </c>
      <c r="B125" s="4">
        <v>0</v>
      </c>
      <c r="C125" s="4">
        <v>0</v>
      </c>
      <c r="D125" s="4">
        <v>1</v>
      </c>
      <c r="E125" s="4">
        <v>207</v>
      </c>
      <c r="F125" s="4">
        <f>ROUND(Source!U103,O125)</f>
        <v>1298.145164</v>
      </c>
      <c r="G125" s="4" t="s">
        <v>258</v>
      </c>
      <c r="H125" s="4" t="s">
        <v>259</v>
      </c>
      <c r="I125" s="4"/>
      <c r="J125" s="4"/>
      <c r="K125" s="4">
        <v>207</v>
      </c>
      <c r="L125" s="4">
        <v>21</v>
      </c>
      <c r="M125" s="4">
        <v>3</v>
      </c>
      <c r="N125" s="4" t="s">
        <v>6</v>
      </c>
      <c r="O125" s="4">
        <v>7</v>
      </c>
      <c r="P125" s="4"/>
      <c r="Q125" s="4"/>
      <c r="R125" s="4"/>
      <c r="S125" s="4"/>
      <c r="T125" s="4"/>
      <c r="U125" s="4"/>
      <c r="V125" s="4"/>
      <c r="W125" s="4">
        <v>1298.145164</v>
      </c>
      <c r="X125" s="4">
        <v>1</v>
      </c>
      <c r="Y125" s="4">
        <v>1298.145164</v>
      </c>
      <c r="Z125" s="4"/>
      <c r="AA125" s="4"/>
      <c r="AB125" s="4"/>
      <c r="IF125">
        <v>-1</v>
      </c>
    </row>
    <row r="126" spans="1:240" x14ac:dyDescent="0.2">
      <c r="A126" s="4">
        <v>50</v>
      </c>
      <c r="B126" s="4">
        <v>0</v>
      </c>
      <c r="C126" s="4">
        <v>0</v>
      </c>
      <c r="D126" s="4">
        <v>1</v>
      </c>
      <c r="E126" s="4">
        <v>208</v>
      </c>
      <c r="F126" s="4">
        <f>ROUND(Source!V103,O126)</f>
        <v>227.79489799999999</v>
      </c>
      <c r="G126" s="4" t="s">
        <v>260</v>
      </c>
      <c r="H126" s="4" t="s">
        <v>261</v>
      </c>
      <c r="I126" s="4"/>
      <c r="J126" s="4"/>
      <c r="K126" s="4">
        <v>208</v>
      </c>
      <c r="L126" s="4">
        <v>22</v>
      </c>
      <c r="M126" s="4">
        <v>3</v>
      </c>
      <c r="N126" s="4" t="s">
        <v>6</v>
      </c>
      <c r="O126" s="4">
        <v>7</v>
      </c>
      <c r="P126" s="4"/>
      <c r="Q126" s="4"/>
      <c r="R126" s="4"/>
      <c r="S126" s="4"/>
      <c r="T126" s="4"/>
      <c r="U126" s="4"/>
      <c r="V126" s="4"/>
      <c r="W126" s="4">
        <v>227.79489799999999</v>
      </c>
      <c r="X126" s="4">
        <v>1</v>
      </c>
      <c r="Y126" s="4">
        <v>227.79489799999999</v>
      </c>
      <c r="Z126" s="4"/>
      <c r="AA126" s="4"/>
      <c r="AB126" s="4"/>
      <c r="IF126">
        <v>-1</v>
      </c>
    </row>
    <row r="127" spans="1:240" x14ac:dyDescent="0.2">
      <c r="A127" s="4">
        <v>50</v>
      </c>
      <c r="B127" s="4">
        <v>0</v>
      </c>
      <c r="C127" s="4">
        <v>0</v>
      </c>
      <c r="D127" s="4">
        <v>1</v>
      </c>
      <c r="E127" s="4">
        <v>209</v>
      </c>
      <c r="F127" s="4">
        <f>ROUND(Source!W103,O127)</f>
        <v>0</v>
      </c>
      <c r="G127" s="4" t="s">
        <v>262</v>
      </c>
      <c r="H127" s="4" t="s">
        <v>263</v>
      </c>
      <c r="I127" s="4"/>
      <c r="J127" s="4"/>
      <c r="K127" s="4">
        <v>209</v>
      </c>
      <c r="L127" s="4">
        <v>23</v>
      </c>
      <c r="M127" s="4">
        <v>3</v>
      </c>
      <c r="N127" s="4" t="s">
        <v>6</v>
      </c>
      <c r="O127" s="4">
        <v>2</v>
      </c>
      <c r="P127" s="4"/>
      <c r="Q127" s="4"/>
      <c r="R127" s="4"/>
      <c r="S127" s="4"/>
      <c r="T127" s="4"/>
      <c r="U127" s="4"/>
      <c r="V127" s="4"/>
      <c r="W127" s="4">
        <v>0</v>
      </c>
      <c r="X127" s="4">
        <v>1</v>
      </c>
      <c r="Y127" s="4">
        <v>0</v>
      </c>
      <c r="Z127" s="4"/>
      <c r="AA127" s="4"/>
      <c r="AB127" s="4"/>
      <c r="IF127">
        <v>-1</v>
      </c>
    </row>
    <row r="128" spans="1:240" x14ac:dyDescent="0.2">
      <c r="A128" s="4">
        <v>50</v>
      </c>
      <c r="B128" s="4">
        <v>0</v>
      </c>
      <c r="C128" s="4">
        <v>0</v>
      </c>
      <c r="D128" s="4">
        <v>1</v>
      </c>
      <c r="E128" s="4">
        <v>233</v>
      </c>
      <c r="F128" s="4" t="e">
        <f>ROUND(Source!BD103,O128)</f>
        <v>#REF!</v>
      </c>
      <c r="G128" s="4" t="s">
        <v>264</v>
      </c>
      <c r="H128" s="4" t="s">
        <v>265</v>
      </c>
      <c r="I128" s="4"/>
      <c r="J128" s="4"/>
      <c r="K128" s="4">
        <v>233</v>
      </c>
      <c r="L128" s="4">
        <v>24</v>
      </c>
      <c r="M128" s="4">
        <v>3</v>
      </c>
      <c r="N128" s="4" t="s">
        <v>6</v>
      </c>
      <c r="O128" s="4">
        <v>2</v>
      </c>
      <c r="P128" s="4"/>
      <c r="Q128" s="4"/>
      <c r="R128" s="4"/>
      <c r="S128" s="4"/>
      <c r="T128" s="4"/>
      <c r="U128" s="4"/>
      <c r="V128" s="4"/>
      <c r="W128" s="4">
        <v>91836.11</v>
      </c>
      <c r="X128" s="4">
        <v>1</v>
      </c>
      <c r="Y128" s="4">
        <v>91836.11</v>
      </c>
      <c r="Z128" s="4"/>
      <c r="AA128" s="4"/>
      <c r="AB128" s="4"/>
      <c r="IF128">
        <v>-1</v>
      </c>
    </row>
    <row r="129" spans="1:240" x14ac:dyDescent="0.2">
      <c r="A129" s="4">
        <v>50</v>
      </c>
      <c r="B129" s="4">
        <v>0</v>
      </c>
      <c r="C129" s="4">
        <v>0</v>
      </c>
      <c r="D129" s="4">
        <v>1</v>
      </c>
      <c r="E129" s="4">
        <v>210</v>
      </c>
      <c r="F129" s="4" t="e">
        <f>ROUND(Source!X103,O129)</f>
        <v>#REF!</v>
      </c>
      <c r="G129" s="4" t="s">
        <v>266</v>
      </c>
      <c r="H129" s="4" t="s">
        <v>267</v>
      </c>
      <c r="I129" s="4"/>
      <c r="J129" s="4"/>
      <c r="K129" s="4">
        <v>210</v>
      </c>
      <c r="L129" s="4">
        <v>25</v>
      </c>
      <c r="M129" s="4">
        <v>3</v>
      </c>
      <c r="N129" s="4" t="s">
        <v>6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481525.89</v>
      </c>
      <c r="X129" s="4">
        <v>1</v>
      </c>
      <c r="Y129" s="4">
        <v>481525.89</v>
      </c>
      <c r="Z129" s="4"/>
      <c r="AA129" s="4"/>
      <c r="AB129" s="4"/>
      <c r="IF129">
        <v>-1</v>
      </c>
    </row>
    <row r="130" spans="1:240" x14ac:dyDescent="0.2">
      <c r="A130" s="4">
        <v>50</v>
      </c>
      <c r="B130" s="4">
        <v>0</v>
      </c>
      <c r="C130" s="4">
        <v>0</v>
      </c>
      <c r="D130" s="4">
        <v>1</v>
      </c>
      <c r="E130" s="4">
        <v>211</v>
      </c>
      <c r="F130" s="4" t="e">
        <f>ROUND(Source!Y103,O130)</f>
        <v>#REF!</v>
      </c>
      <c r="G130" s="4" t="s">
        <v>268</v>
      </c>
      <c r="H130" s="4" t="s">
        <v>269</v>
      </c>
      <c r="I130" s="4"/>
      <c r="J130" s="4"/>
      <c r="K130" s="4">
        <v>211</v>
      </c>
      <c r="L130" s="4">
        <v>26</v>
      </c>
      <c r="M130" s="4">
        <v>3</v>
      </c>
      <c r="N130" s="4" t="s">
        <v>6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273496.92</v>
      </c>
      <c r="X130" s="4">
        <v>1</v>
      </c>
      <c r="Y130" s="4">
        <v>273496.92</v>
      </c>
      <c r="Z130" s="4"/>
      <c r="AA130" s="4"/>
      <c r="AB130" s="4"/>
      <c r="IF130">
        <v>-1</v>
      </c>
    </row>
    <row r="131" spans="1:240" x14ac:dyDescent="0.2">
      <c r="A131" s="4">
        <v>50</v>
      </c>
      <c r="B131" s="4">
        <v>0</v>
      </c>
      <c r="C131" s="4">
        <v>0</v>
      </c>
      <c r="D131" s="4">
        <v>1</v>
      </c>
      <c r="E131" s="4">
        <v>224</v>
      </c>
      <c r="F131" s="4" t="e">
        <f>ROUND(Source!AR103,O131)</f>
        <v>#REF!</v>
      </c>
      <c r="G131" s="4" t="s">
        <v>270</v>
      </c>
      <c r="H131" s="4" t="s">
        <v>271</v>
      </c>
      <c r="I131" s="4"/>
      <c r="J131" s="4"/>
      <c r="K131" s="4">
        <v>224</v>
      </c>
      <c r="L131" s="4">
        <v>27</v>
      </c>
      <c r="M131" s="4">
        <v>3</v>
      </c>
      <c r="N131" s="4" t="s">
        <v>6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3137670.3</v>
      </c>
      <c r="X131" s="4">
        <v>1</v>
      </c>
      <c r="Y131" s="4">
        <v>3137670.3</v>
      </c>
      <c r="Z131" s="4"/>
      <c r="AA131" s="4"/>
      <c r="AB131" s="4"/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A134">
        <v>70</v>
      </c>
      <c r="B134">
        <v>1</v>
      </c>
      <c r="D134">
        <v>1</v>
      </c>
      <c r="E134" t="s">
        <v>272</v>
      </c>
      <c r="F134" t="s">
        <v>273</v>
      </c>
      <c r="G134">
        <v>1</v>
      </c>
      <c r="H134">
        <v>0</v>
      </c>
      <c r="I134" t="s">
        <v>6</v>
      </c>
      <c r="J134">
        <v>1</v>
      </c>
      <c r="K134">
        <v>0</v>
      </c>
      <c r="L134" t="s">
        <v>6</v>
      </c>
      <c r="M134" t="s">
        <v>6</v>
      </c>
      <c r="N134">
        <v>0</v>
      </c>
      <c r="P134" t="s">
        <v>274</v>
      </c>
      <c r="IF134">
        <v>-1</v>
      </c>
    </row>
    <row r="135" spans="1:240" x14ac:dyDescent="0.2">
      <c r="A135">
        <v>70</v>
      </c>
      <c r="B135">
        <v>1</v>
      </c>
      <c r="D135">
        <v>2</v>
      </c>
      <c r="E135" t="s">
        <v>275</v>
      </c>
      <c r="F135" t="s">
        <v>276</v>
      </c>
      <c r="G135">
        <v>0</v>
      </c>
      <c r="H135">
        <v>0</v>
      </c>
      <c r="I135" t="s">
        <v>6</v>
      </c>
      <c r="J135">
        <v>1</v>
      </c>
      <c r="K135">
        <v>0</v>
      </c>
      <c r="L135" t="s">
        <v>6</v>
      </c>
      <c r="M135" t="s">
        <v>6</v>
      </c>
      <c r="N135">
        <v>0</v>
      </c>
      <c r="P135" t="s">
        <v>277</v>
      </c>
      <c r="IF135">
        <v>-1</v>
      </c>
    </row>
    <row r="136" spans="1:240" x14ac:dyDescent="0.2">
      <c r="A136">
        <v>70</v>
      </c>
      <c r="B136">
        <v>1</v>
      </c>
      <c r="D136">
        <v>3</v>
      </c>
      <c r="E136" t="s">
        <v>278</v>
      </c>
      <c r="F136" t="s">
        <v>279</v>
      </c>
      <c r="G136">
        <v>0</v>
      </c>
      <c r="H136">
        <v>0</v>
      </c>
      <c r="I136" t="s">
        <v>6</v>
      </c>
      <c r="J136">
        <v>1</v>
      </c>
      <c r="K136">
        <v>0</v>
      </c>
      <c r="L136" t="s">
        <v>6</v>
      </c>
      <c r="M136" t="s">
        <v>6</v>
      </c>
      <c r="N136">
        <v>0</v>
      </c>
      <c r="P136" t="s">
        <v>280</v>
      </c>
      <c r="IF136">
        <v>-1</v>
      </c>
    </row>
    <row r="137" spans="1:240" x14ac:dyDescent="0.2">
      <c r="A137">
        <v>70</v>
      </c>
      <c r="B137">
        <v>1</v>
      </c>
      <c r="D137">
        <v>4</v>
      </c>
      <c r="E137" t="s">
        <v>281</v>
      </c>
      <c r="F137" t="s">
        <v>282</v>
      </c>
      <c r="G137">
        <v>1</v>
      </c>
      <c r="H137">
        <v>0</v>
      </c>
      <c r="I137" t="s">
        <v>6</v>
      </c>
      <c r="J137">
        <v>2</v>
      </c>
      <c r="K137">
        <v>0</v>
      </c>
      <c r="L137" t="s">
        <v>6</v>
      </c>
      <c r="M137" t="s">
        <v>6</v>
      </c>
      <c r="N137">
        <v>0</v>
      </c>
      <c r="P137" t="s">
        <v>6</v>
      </c>
      <c r="IF137">
        <v>-1</v>
      </c>
    </row>
    <row r="138" spans="1:240" x14ac:dyDescent="0.2">
      <c r="A138">
        <v>70</v>
      </c>
      <c r="B138">
        <v>1</v>
      </c>
      <c r="D138">
        <v>5</v>
      </c>
      <c r="E138" t="s">
        <v>283</v>
      </c>
      <c r="F138" t="s">
        <v>284</v>
      </c>
      <c r="G138">
        <v>0</v>
      </c>
      <c r="H138">
        <v>0</v>
      </c>
      <c r="I138" t="s">
        <v>6</v>
      </c>
      <c r="J138">
        <v>2</v>
      </c>
      <c r="K138">
        <v>0</v>
      </c>
      <c r="L138" t="s">
        <v>6</v>
      </c>
      <c r="M138" t="s">
        <v>6</v>
      </c>
      <c r="N138">
        <v>0</v>
      </c>
      <c r="P138" t="s">
        <v>6</v>
      </c>
      <c r="IF138">
        <v>-1</v>
      </c>
    </row>
    <row r="139" spans="1:240" x14ac:dyDescent="0.2">
      <c r="A139">
        <v>70</v>
      </c>
      <c r="B139">
        <v>1</v>
      </c>
      <c r="D139">
        <v>6</v>
      </c>
      <c r="E139" t="s">
        <v>285</v>
      </c>
      <c r="F139" t="s">
        <v>286</v>
      </c>
      <c r="G139">
        <v>0</v>
      </c>
      <c r="H139">
        <v>0</v>
      </c>
      <c r="I139" t="s">
        <v>6</v>
      </c>
      <c r="J139">
        <v>2</v>
      </c>
      <c r="K139">
        <v>0</v>
      </c>
      <c r="L139" t="s">
        <v>6</v>
      </c>
      <c r="M139" t="s">
        <v>6</v>
      </c>
      <c r="N139">
        <v>0</v>
      </c>
      <c r="P139" t="s">
        <v>6</v>
      </c>
      <c r="IF139">
        <v>-1</v>
      </c>
    </row>
    <row r="140" spans="1:240" x14ac:dyDescent="0.2">
      <c r="A140">
        <v>70</v>
      </c>
      <c r="B140">
        <v>1</v>
      </c>
      <c r="D140">
        <v>7</v>
      </c>
      <c r="E140" t="s">
        <v>287</v>
      </c>
      <c r="F140" t="s">
        <v>288</v>
      </c>
      <c r="G140">
        <v>0</v>
      </c>
      <c r="H140">
        <v>0</v>
      </c>
      <c r="I140" t="s">
        <v>289</v>
      </c>
      <c r="J140">
        <v>0</v>
      </c>
      <c r="K140">
        <v>0</v>
      </c>
      <c r="L140" t="s">
        <v>6</v>
      </c>
      <c r="M140" t="s">
        <v>6</v>
      </c>
      <c r="N140">
        <v>0</v>
      </c>
      <c r="P140" t="s">
        <v>290</v>
      </c>
      <c r="IF140">
        <v>-1</v>
      </c>
    </row>
    <row r="141" spans="1:240" x14ac:dyDescent="0.2">
      <c r="A141">
        <v>70</v>
      </c>
      <c r="B141">
        <v>1</v>
      </c>
      <c r="D141">
        <v>8</v>
      </c>
      <c r="E141" t="s">
        <v>291</v>
      </c>
      <c r="F141" t="s">
        <v>292</v>
      </c>
      <c r="G141">
        <v>1</v>
      </c>
      <c r="H141">
        <v>0</v>
      </c>
      <c r="I141" t="s">
        <v>6</v>
      </c>
      <c r="J141">
        <v>5</v>
      </c>
      <c r="K141">
        <v>0</v>
      </c>
      <c r="L141" t="s">
        <v>6</v>
      </c>
      <c r="M141" t="s">
        <v>6</v>
      </c>
      <c r="N141">
        <v>0</v>
      </c>
      <c r="P141" t="s">
        <v>6</v>
      </c>
      <c r="IF141">
        <v>-1</v>
      </c>
    </row>
    <row r="142" spans="1:240" x14ac:dyDescent="0.2">
      <c r="A142">
        <v>70</v>
      </c>
      <c r="B142">
        <v>1</v>
      </c>
      <c r="D142">
        <v>9</v>
      </c>
      <c r="E142" t="s">
        <v>293</v>
      </c>
      <c r="F142" t="s">
        <v>294</v>
      </c>
      <c r="G142">
        <v>0</v>
      </c>
      <c r="H142">
        <v>0</v>
      </c>
      <c r="I142" t="s">
        <v>6</v>
      </c>
      <c r="J142">
        <v>5</v>
      </c>
      <c r="K142">
        <v>0</v>
      </c>
      <c r="L142" t="s">
        <v>6</v>
      </c>
      <c r="M142" t="s">
        <v>6</v>
      </c>
      <c r="N142">
        <v>0</v>
      </c>
      <c r="P142" t="s">
        <v>6</v>
      </c>
      <c r="IF142">
        <v>-1</v>
      </c>
    </row>
    <row r="143" spans="1:240" x14ac:dyDescent="0.2">
      <c r="A143">
        <v>70</v>
      </c>
      <c r="B143">
        <v>1</v>
      </c>
      <c r="D143">
        <v>10</v>
      </c>
      <c r="E143" t="s">
        <v>295</v>
      </c>
      <c r="F143" t="s">
        <v>296</v>
      </c>
      <c r="G143">
        <v>0</v>
      </c>
      <c r="H143">
        <v>0</v>
      </c>
      <c r="I143" t="s">
        <v>297</v>
      </c>
      <c r="J143">
        <v>5</v>
      </c>
      <c r="K143">
        <v>0</v>
      </c>
      <c r="L143" t="s">
        <v>6</v>
      </c>
      <c r="M143" t="s">
        <v>6</v>
      </c>
      <c r="N143">
        <v>0</v>
      </c>
      <c r="P143" t="s">
        <v>298</v>
      </c>
      <c r="IF143">
        <v>-1</v>
      </c>
    </row>
    <row r="144" spans="1:240" x14ac:dyDescent="0.2">
      <c r="A144">
        <v>70</v>
      </c>
      <c r="B144">
        <v>1</v>
      </c>
      <c r="D144">
        <v>11</v>
      </c>
      <c r="E144" t="s">
        <v>299</v>
      </c>
      <c r="F144" t="s">
        <v>300</v>
      </c>
      <c r="G144">
        <v>0</v>
      </c>
      <c r="H144">
        <v>0</v>
      </c>
      <c r="I144" t="s">
        <v>301</v>
      </c>
      <c r="J144">
        <v>0</v>
      </c>
      <c r="K144">
        <v>0</v>
      </c>
      <c r="L144" t="s">
        <v>6</v>
      </c>
      <c r="M144" t="s">
        <v>6</v>
      </c>
      <c r="N144">
        <v>0</v>
      </c>
      <c r="P144" t="s">
        <v>302</v>
      </c>
      <c r="IF144">
        <v>-1</v>
      </c>
    </row>
    <row r="145" spans="1:240" x14ac:dyDescent="0.2">
      <c r="A145">
        <v>70</v>
      </c>
      <c r="B145">
        <v>1</v>
      </c>
      <c r="D145">
        <v>12</v>
      </c>
      <c r="E145" t="s">
        <v>303</v>
      </c>
      <c r="F145" t="s">
        <v>304</v>
      </c>
      <c r="G145">
        <v>0</v>
      </c>
      <c r="H145">
        <v>0</v>
      </c>
      <c r="I145" t="s">
        <v>305</v>
      </c>
      <c r="J145">
        <v>0</v>
      </c>
      <c r="K145">
        <v>0</v>
      </c>
      <c r="L145" t="s">
        <v>6</v>
      </c>
      <c r="M145" t="s">
        <v>6</v>
      </c>
      <c r="N145">
        <v>0</v>
      </c>
      <c r="P145" t="s">
        <v>306</v>
      </c>
      <c r="IF145">
        <v>-1</v>
      </c>
    </row>
    <row r="146" spans="1:240" x14ac:dyDescent="0.2">
      <c r="A146">
        <v>70</v>
      </c>
      <c r="B146">
        <v>1</v>
      </c>
      <c r="D146">
        <v>13</v>
      </c>
      <c r="E146" t="s">
        <v>307</v>
      </c>
      <c r="F146" t="s">
        <v>308</v>
      </c>
      <c r="G146">
        <v>0</v>
      </c>
      <c r="H146">
        <v>0</v>
      </c>
      <c r="I146" t="s">
        <v>309</v>
      </c>
      <c r="J146">
        <v>0</v>
      </c>
      <c r="K146">
        <v>0</v>
      </c>
      <c r="L146" t="s">
        <v>6</v>
      </c>
      <c r="M146" t="s">
        <v>6</v>
      </c>
      <c r="N146">
        <v>0</v>
      </c>
      <c r="P146" t="s">
        <v>310</v>
      </c>
      <c r="IF146">
        <v>-1</v>
      </c>
    </row>
    <row r="147" spans="1:240" x14ac:dyDescent="0.2">
      <c r="A147">
        <v>70</v>
      </c>
      <c r="B147">
        <v>1</v>
      </c>
      <c r="D147">
        <v>14</v>
      </c>
      <c r="E147" t="s">
        <v>311</v>
      </c>
      <c r="F147" t="s">
        <v>312</v>
      </c>
      <c r="G147">
        <v>0</v>
      </c>
      <c r="H147">
        <v>0</v>
      </c>
      <c r="I147" t="s">
        <v>6</v>
      </c>
      <c r="J147">
        <v>0</v>
      </c>
      <c r="K147">
        <v>0</v>
      </c>
      <c r="L147" t="s">
        <v>6</v>
      </c>
      <c r="M147" t="s">
        <v>6</v>
      </c>
      <c r="N147">
        <v>0</v>
      </c>
      <c r="P147" t="s">
        <v>313</v>
      </c>
      <c r="IF147">
        <v>-1</v>
      </c>
    </row>
    <row r="148" spans="1:240" x14ac:dyDescent="0.2">
      <c r="A148">
        <v>70</v>
      </c>
      <c r="B148">
        <v>1</v>
      </c>
      <c r="D148">
        <v>15</v>
      </c>
      <c r="E148" t="s">
        <v>314</v>
      </c>
      <c r="F148" t="s">
        <v>315</v>
      </c>
      <c r="G148">
        <v>0</v>
      </c>
      <c r="H148">
        <v>0</v>
      </c>
      <c r="I148" t="s">
        <v>6</v>
      </c>
      <c r="J148">
        <v>3</v>
      </c>
      <c r="K148">
        <v>0</v>
      </c>
      <c r="L148" t="s">
        <v>6</v>
      </c>
      <c r="M148" t="s">
        <v>6</v>
      </c>
      <c r="N148">
        <v>0</v>
      </c>
      <c r="P148" t="s">
        <v>6</v>
      </c>
      <c r="IF148">
        <v>-1</v>
      </c>
    </row>
    <row r="149" spans="1:240" x14ac:dyDescent="0.2">
      <c r="A149">
        <v>70</v>
      </c>
      <c r="B149">
        <v>1</v>
      </c>
      <c r="D149">
        <v>16</v>
      </c>
      <c r="E149" t="s">
        <v>316</v>
      </c>
      <c r="F149" t="s">
        <v>317</v>
      </c>
      <c r="G149">
        <v>1</v>
      </c>
      <c r="H149">
        <v>0</v>
      </c>
      <c r="I149" t="s">
        <v>6</v>
      </c>
      <c r="J149">
        <v>3</v>
      </c>
      <c r="K149">
        <v>0</v>
      </c>
      <c r="L149" t="s">
        <v>6</v>
      </c>
      <c r="M149" t="s">
        <v>6</v>
      </c>
      <c r="N149">
        <v>0</v>
      </c>
      <c r="P149" t="s">
        <v>6</v>
      </c>
      <c r="IF149">
        <v>-1</v>
      </c>
    </row>
    <row r="150" spans="1:240" x14ac:dyDescent="0.2">
      <c r="A150">
        <v>70</v>
      </c>
      <c r="B150">
        <v>1</v>
      </c>
      <c r="D150">
        <v>1</v>
      </c>
      <c r="E150" t="s">
        <v>318</v>
      </c>
      <c r="F150" t="s">
        <v>319</v>
      </c>
      <c r="G150">
        <v>0.9</v>
      </c>
      <c r="H150">
        <v>1</v>
      </c>
      <c r="I150" t="s">
        <v>320</v>
      </c>
      <c r="J150">
        <v>0</v>
      </c>
      <c r="K150">
        <v>0</v>
      </c>
      <c r="L150" t="s">
        <v>6</v>
      </c>
      <c r="M150" t="s">
        <v>6</v>
      </c>
      <c r="N150">
        <v>0</v>
      </c>
      <c r="P150" t="s">
        <v>321</v>
      </c>
      <c r="IF150">
        <v>-1</v>
      </c>
    </row>
    <row r="151" spans="1:240" x14ac:dyDescent="0.2">
      <c r="A151">
        <v>70</v>
      </c>
      <c r="B151">
        <v>1</v>
      </c>
      <c r="D151">
        <v>2</v>
      </c>
      <c r="E151" t="s">
        <v>322</v>
      </c>
      <c r="F151" t="s">
        <v>323</v>
      </c>
      <c r="G151">
        <v>0.85</v>
      </c>
      <c r="H151">
        <v>1</v>
      </c>
      <c r="I151" t="s">
        <v>324</v>
      </c>
      <c r="J151">
        <v>0</v>
      </c>
      <c r="K151">
        <v>0</v>
      </c>
      <c r="L151" t="s">
        <v>6</v>
      </c>
      <c r="M151" t="s">
        <v>6</v>
      </c>
      <c r="N151">
        <v>0</v>
      </c>
      <c r="P151" t="s">
        <v>325</v>
      </c>
      <c r="IF151">
        <v>-1</v>
      </c>
    </row>
    <row r="152" spans="1:240" x14ac:dyDescent="0.2">
      <c r="A152">
        <v>70</v>
      </c>
      <c r="B152">
        <v>1</v>
      </c>
      <c r="D152">
        <v>3</v>
      </c>
      <c r="E152" t="s">
        <v>326</v>
      </c>
      <c r="F152" t="s">
        <v>327</v>
      </c>
      <c r="G152">
        <v>1.03</v>
      </c>
      <c r="H152">
        <v>0</v>
      </c>
      <c r="I152" t="s">
        <v>6</v>
      </c>
      <c r="J152">
        <v>0</v>
      </c>
      <c r="K152">
        <v>0</v>
      </c>
      <c r="L152" t="s">
        <v>6</v>
      </c>
      <c r="M152" t="s">
        <v>6</v>
      </c>
      <c r="N152">
        <v>0</v>
      </c>
      <c r="P152" t="s">
        <v>328</v>
      </c>
      <c r="IF152">
        <v>-1</v>
      </c>
    </row>
    <row r="153" spans="1:240" x14ac:dyDescent="0.2">
      <c r="A153">
        <v>70</v>
      </c>
      <c r="B153">
        <v>1</v>
      </c>
      <c r="D153">
        <v>4</v>
      </c>
      <c r="E153" t="s">
        <v>329</v>
      </c>
      <c r="F153" t="s">
        <v>330</v>
      </c>
      <c r="G153">
        <v>1.1499999999999999</v>
      </c>
      <c r="H153">
        <v>0</v>
      </c>
      <c r="I153" t="s">
        <v>6</v>
      </c>
      <c r="J153">
        <v>0</v>
      </c>
      <c r="K153">
        <v>0</v>
      </c>
      <c r="L153" t="s">
        <v>6</v>
      </c>
      <c r="M153" t="s">
        <v>6</v>
      </c>
      <c r="N153">
        <v>0</v>
      </c>
      <c r="P153" t="s">
        <v>331</v>
      </c>
      <c r="IF153">
        <v>-1</v>
      </c>
    </row>
    <row r="154" spans="1:240" x14ac:dyDescent="0.2">
      <c r="A154">
        <v>70</v>
      </c>
      <c r="B154">
        <v>1</v>
      </c>
      <c r="D154">
        <v>5</v>
      </c>
      <c r="E154" t="s">
        <v>332</v>
      </c>
      <c r="F154" t="s">
        <v>333</v>
      </c>
      <c r="G154">
        <v>7</v>
      </c>
      <c r="H154">
        <v>0</v>
      </c>
      <c r="I154" t="s">
        <v>6</v>
      </c>
      <c r="J154">
        <v>0</v>
      </c>
      <c r="K154">
        <v>0</v>
      </c>
      <c r="L154" t="s">
        <v>6</v>
      </c>
      <c r="M154" t="s">
        <v>6</v>
      </c>
      <c r="N154">
        <v>0</v>
      </c>
      <c r="P154" t="s">
        <v>6</v>
      </c>
      <c r="IF154">
        <v>-1</v>
      </c>
    </row>
    <row r="155" spans="1:240" x14ac:dyDescent="0.2">
      <c r="A155">
        <v>70</v>
      </c>
      <c r="B155">
        <v>1</v>
      </c>
      <c r="D155">
        <v>6</v>
      </c>
      <c r="E155" t="s">
        <v>334</v>
      </c>
      <c r="F155" t="s">
        <v>6</v>
      </c>
      <c r="G155">
        <v>2</v>
      </c>
      <c r="H155">
        <v>0</v>
      </c>
      <c r="I155" t="s">
        <v>6</v>
      </c>
      <c r="J155">
        <v>0</v>
      </c>
      <c r="K155">
        <v>0</v>
      </c>
      <c r="L155" t="s">
        <v>6</v>
      </c>
      <c r="M155" t="s">
        <v>6</v>
      </c>
      <c r="N155">
        <v>0</v>
      </c>
      <c r="P155" t="s">
        <v>6</v>
      </c>
      <c r="IF155">
        <v>-1</v>
      </c>
    </row>
    <row r="156" spans="1:240" x14ac:dyDescent="0.2">
      <c r="IF156">
        <v>-1</v>
      </c>
    </row>
    <row r="157" spans="1:240" x14ac:dyDescent="0.2">
      <c r="A157">
        <v>-1</v>
      </c>
      <c r="IF157">
        <v>-1</v>
      </c>
    </row>
    <row r="158" spans="1:240" x14ac:dyDescent="0.2">
      <c r="IF158">
        <v>-1</v>
      </c>
    </row>
    <row r="159" spans="1:240" x14ac:dyDescent="0.2">
      <c r="A159" s="3">
        <v>75</v>
      </c>
      <c r="B159" s="3" t="s">
        <v>335</v>
      </c>
      <c r="C159" s="3">
        <v>2024</v>
      </c>
      <c r="D159" s="3">
        <v>4</v>
      </c>
      <c r="E159" s="3">
        <v>0</v>
      </c>
      <c r="F159" s="3">
        <v>0</v>
      </c>
      <c r="G159" s="3">
        <v>0</v>
      </c>
      <c r="H159" s="3">
        <v>1</v>
      </c>
      <c r="I159" s="3">
        <v>0</v>
      </c>
      <c r="J159" s="3">
        <v>4</v>
      </c>
      <c r="K159" s="3">
        <v>0</v>
      </c>
      <c r="L159" s="3">
        <v>0</v>
      </c>
      <c r="M159" s="3">
        <v>0</v>
      </c>
      <c r="N159" s="3">
        <v>67643165</v>
      </c>
      <c r="O159" s="3">
        <v>1</v>
      </c>
      <c r="IF159">
        <v>-1</v>
      </c>
    </row>
    <row r="160" spans="1:240" x14ac:dyDescent="0.2">
      <c r="A160" s="5">
        <v>3</v>
      </c>
      <c r="B160" s="5" t="s">
        <v>336</v>
      </c>
      <c r="C160" s="5">
        <v>1</v>
      </c>
      <c r="D160" s="5">
        <v>9.11</v>
      </c>
      <c r="E160" s="5">
        <v>13.26</v>
      </c>
      <c r="F160" s="5">
        <v>33.39</v>
      </c>
      <c r="G160" s="5">
        <v>33.39</v>
      </c>
      <c r="H160" s="5">
        <v>6.14</v>
      </c>
      <c r="I160" s="5">
        <v>1</v>
      </c>
      <c r="J160" s="5">
        <v>2</v>
      </c>
      <c r="K160" s="5">
        <v>1</v>
      </c>
      <c r="L160" s="5">
        <v>13.26</v>
      </c>
      <c r="M160" s="5">
        <v>1</v>
      </c>
      <c r="N160" s="5">
        <v>9.11</v>
      </c>
      <c r="O160" s="5">
        <v>6.14</v>
      </c>
      <c r="P160" s="5">
        <v>1</v>
      </c>
      <c r="Q160" s="5">
        <v>1</v>
      </c>
      <c r="R160" s="5">
        <v>13.26</v>
      </c>
      <c r="S160" s="5" t="s">
        <v>6</v>
      </c>
      <c r="T160" s="5" t="s">
        <v>6</v>
      </c>
      <c r="U160" s="5" t="s">
        <v>6</v>
      </c>
      <c r="V160" s="5" t="s">
        <v>6</v>
      </c>
      <c r="W160" s="5" t="s">
        <v>6</v>
      </c>
      <c r="X160" s="5" t="s">
        <v>6</v>
      </c>
      <c r="Y160" s="5" t="s">
        <v>6</v>
      </c>
      <c r="Z160" s="5" t="s">
        <v>6</v>
      </c>
      <c r="AA160" s="5" t="s">
        <v>6</v>
      </c>
      <c r="AB160" s="5" t="s">
        <v>6</v>
      </c>
      <c r="AC160" s="5" t="s">
        <v>6</v>
      </c>
      <c r="AD160" s="5" t="s">
        <v>6</v>
      </c>
      <c r="AE160" s="5" t="s">
        <v>6</v>
      </c>
      <c r="AF160" s="5" t="s">
        <v>6</v>
      </c>
      <c r="AG160" s="5" t="s">
        <v>6</v>
      </c>
      <c r="AH160" s="5" t="s">
        <v>6</v>
      </c>
      <c r="AI160" s="5"/>
      <c r="AJ160" s="5"/>
      <c r="AK160" s="5"/>
      <c r="AL160" s="5"/>
      <c r="AM160" s="5"/>
      <c r="AN160" s="5">
        <v>67643166</v>
      </c>
      <c r="IF160">
        <v>-1</v>
      </c>
    </row>
    <row r="161" spans="1:240" x14ac:dyDescent="0.2">
      <c r="IF161">
        <v>-1</v>
      </c>
    </row>
    <row r="162" spans="1:240" x14ac:dyDescent="0.2">
      <c r="IF162">
        <v>-1</v>
      </c>
    </row>
    <row r="163" spans="1:240" x14ac:dyDescent="0.2">
      <c r="IF163">
        <v>-1</v>
      </c>
    </row>
    <row r="164" spans="1:240" x14ac:dyDescent="0.2">
      <c r="A164">
        <v>65</v>
      </c>
      <c r="C164">
        <v>1</v>
      </c>
      <c r="D164">
        <v>0</v>
      </c>
      <c r="E164">
        <v>245</v>
      </c>
      <c r="IF164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12</vt:i4>
      </vt:variant>
    </vt:vector>
  </HeadingPairs>
  <TitlesOfParts>
    <vt:vector size="26" baseType="lpstr">
      <vt:lpstr>6.Ведомость_списания</vt:lpstr>
      <vt:lpstr>5.Ресурсный_расчет</vt:lpstr>
      <vt:lpstr>4.Оборудование</vt:lpstr>
      <vt:lpstr>3.Материалы</vt:lpstr>
      <vt:lpstr>2.Лок.смета.и.Акт в ЕР</vt:lpstr>
      <vt:lpstr>SourceOb.2</vt:lpstr>
      <vt:lpstr>1.Лок.смета.и.Акт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'1.Лок.смета.и.Акт'!Заголовки_для_печати</vt:lpstr>
      <vt:lpstr>'2.Лок.смета.и.Акт в ЕР'!Заголовки_для_печати</vt:lpstr>
      <vt:lpstr>'3.Материалы'!Заголовки_для_печати</vt:lpstr>
      <vt:lpstr>'4.Оборудование'!Заголовки_для_печати</vt:lpstr>
      <vt:lpstr>'5.Ресурсный_расчет'!Заголовки_для_печати</vt:lpstr>
      <vt:lpstr>'6.Ведомость_списания'!Заголовки_для_печати</vt:lpstr>
      <vt:lpstr>'1.Лок.смета.и.Акт'!Область_печати</vt:lpstr>
      <vt:lpstr>'2.Лок.смета.и.Акт в ЕР'!Область_печати</vt:lpstr>
      <vt:lpstr>'3.Материалы'!Область_печати</vt:lpstr>
      <vt:lpstr>'4.Оборудование'!Область_печати</vt:lpstr>
      <vt:lpstr>'5.Ресурсный_расчет'!Область_печати</vt:lpstr>
      <vt:lpstr>'6.Ведомость_списания'!Область_печати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Виктор Эдуардович</dc:creator>
  <cp:lastModifiedBy>Карасева Ольга Анатольевна</cp:lastModifiedBy>
  <dcterms:created xsi:type="dcterms:W3CDTF">2025-02-04T12:29:37Z</dcterms:created>
  <dcterms:modified xsi:type="dcterms:W3CDTF">2026-04-14T12:38:47Z</dcterms:modified>
</cp:coreProperties>
</file>